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айт_контент\рвк\"/>
    </mc:Choice>
  </mc:AlternateContent>
  <xr:revisionPtr revIDLastSave="0" documentId="8_{DAABC149-C891-4DA2-A139-F6F70A49E0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стр-ра водовідв.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2" l="1"/>
  <c r="F43" i="2"/>
  <c r="H42" i="2"/>
  <c r="F42" i="2"/>
  <c r="D42" i="2"/>
  <c r="D41" i="2"/>
  <c r="I39" i="2"/>
  <c r="H39" i="2"/>
  <c r="H37" i="2"/>
  <c r="I34" i="2"/>
  <c r="I33" i="2"/>
  <c r="H33" i="2"/>
  <c r="I32" i="2"/>
  <c r="I30" i="2"/>
  <c r="I40" i="2" s="1"/>
  <c r="I44" i="2" s="1"/>
  <c r="G29" i="2"/>
  <c r="E29" i="2"/>
  <c r="G28" i="2"/>
  <c r="E28" i="2"/>
  <c r="G27" i="2"/>
  <c r="E27" i="2"/>
  <c r="I26" i="2"/>
  <c r="H26" i="2"/>
  <c r="I25" i="2"/>
  <c r="H25" i="2"/>
  <c r="G24" i="2"/>
  <c r="E24" i="2"/>
  <c r="I23" i="2"/>
  <c r="E23" i="2" s="1"/>
  <c r="H23" i="2"/>
  <c r="I22" i="2"/>
  <c r="E22" i="2" s="1"/>
  <c r="H22" i="2"/>
  <c r="I21" i="2"/>
  <c r="I20" i="2"/>
  <c r="E20" i="2" s="1"/>
  <c r="D20" i="2" s="1"/>
  <c r="H20" i="2"/>
  <c r="I19" i="2"/>
  <c r="E19" i="2" s="1"/>
  <c r="H19" i="2"/>
  <c r="I18" i="2"/>
  <c r="E18" i="2" s="1"/>
  <c r="D18" i="2" s="1"/>
  <c r="H18" i="2"/>
  <c r="I17" i="2"/>
  <c r="H17" i="2"/>
  <c r="E17" i="2"/>
  <c r="D17" i="2" s="1"/>
  <c r="I16" i="2"/>
  <c r="H16" i="2"/>
  <c r="G16" i="2"/>
  <c r="F16" i="2" s="1"/>
  <c r="D16" i="2" s="1"/>
  <c r="I15" i="2"/>
  <c r="H15" i="2"/>
  <c r="E15" i="2"/>
  <c r="D15" i="2" s="1"/>
  <c r="I14" i="2"/>
  <c r="H14" i="2"/>
  <c r="H13" i="2" s="1"/>
  <c r="E14" i="2"/>
  <c r="D14" i="2" s="1"/>
  <c r="F14" i="2" s="1"/>
  <c r="G14" i="2" s="1"/>
  <c r="I13" i="2"/>
  <c r="I12" i="2"/>
  <c r="E12" i="2" s="1"/>
  <c r="D12" i="2" s="1"/>
  <c r="H12" i="2"/>
  <c r="G11" i="2"/>
  <c r="E11" i="2"/>
  <c r="G10" i="2"/>
  <c r="E10" i="2"/>
  <c r="I9" i="2"/>
  <c r="I8" i="2"/>
  <c r="D25" i="2" l="1"/>
  <c r="E25" i="2" s="1"/>
  <c r="H9" i="2"/>
  <c r="F20" i="2"/>
  <c r="G20" i="2" s="1"/>
  <c r="H34" i="2"/>
  <c r="F12" i="2"/>
  <c r="G12" i="2" s="1"/>
  <c r="D23" i="2"/>
  <c r="D19" i="2"/>
  <c r="D13" i="2" s="1"/>
  <c r="D9" i="2" s="1"/>
  <c r="F18" i="2"/>
  <c r="G18" i="2" s="1"/>
  <c r="E21" i="2"/>
  <c r="D22" i="2"/>
  <c r="D21" i="2" s="1"/>
  <c r="F22" i="2"/>
  <c r="G22" i="2" s="1"/>
  <c r="F25" i="2"/>
  <c r="G25" i="2" s="1"/>
  <c r="F15" i="2"/>
  <c r="G15" i="2" s="1"/>
  <c r="F17" i="2"/>
  <c r="G17" i="2" s="1"/>
  <c r="H21" i="2"/>
  <c r="H8" i="2" s="1"/>
  <c r="H30" i="2" s="1"/>
  <c r="H40" i="2" s="1"/>
  <c r="E26" i="2"/>
  <c r="D26" i="2" s="1"/>
  <c r="F26" i="2" s="1"/>
  <c r="G26" i="2" s="1"/>
  <c r="F23" i="2"/>
  <c r="G23" i="2" s="1"/>
  <c r="E16" i="2"/>
  <c r="E13" i="2" s="1"/>
  <c r="E9" i="2" s="1"/>
  <c r="H32" i="2"/>
  <c r="D37" i="2"/>
  <c r="F37" i="2"/>
  <c r="E8" i="2" l="1"/>
  <c r="E30" i="2" s="1"/>
  <c r="F19" i="2"/>
  <c r="G19" i="2" s="1"/>
  <c r="G21" i="2"/>
  <c r="G13" i="2"/>
  <c r="G9" i="2" s="1"/>
  <c r="F21" i="2"/>
  <c r="F13" i="2"/>
  <c r="F9" i="2" s="1"/>
  <c r="D8" i="2"/>
  <c r="D30" i="2" s="1"/>
  <c r="E32" i="2"/>
  <c r="E40" i="2" s="1"/>
  <c r="E44" i="2" s="1"/>
  <c r="F8" i="2" l="1"/>
  <c r="F30" i="2" s="1"/>
  <c r="G8" i="2"/>
  <c r="G30" i="2" s="1"/>
  <c r="E33" i="2"/>
  <c r="E34" i="2" s="1"/>
  <c r="E39" i="2" s="1"/>
  <c r="G40" i="2" l="1"/>
  <c r="G44" i="2" s="1"/>
  <c r="G32" i="2"/>
  <c r="G33" i="2" l="1"/>
  <c r="F33" i="2" s="1"/>
  <c r="D33" i="2" s="1"/>
  <c r="F32" i="2"/>
  <c r="D32" i="2" s="1"/>
  <c r="D40" i="2" s="1"/>
  <c r="F40" i="2" s="1"/>
  <c r="G34" i="2"/>
  <c r="F34" i="2" l="1"/>
  <c r="G39" i="2"/>
  <c r="F39" i="2" l="1"/>
  <c r="D34" i="2"/>
  <c r="D39" i="2" s="1"/>
</calcChain>
</file>

<file path=xl/sharedStrings.xml><?xml version="1.0" encoding="utf-8"?>
<sst xmlns="http://schemas.openxmlformats.org/spreadsheetml/2006/main" count="121" uniqueCount="106">
  <si>
    <t>№ з/п</t>
  </si>
  <si>
    <t>Показник</t>
  </si>
  <si>
    <t>Код рядка</t>
  </si>
  <si>
    <t>Розрахунок тарифу для суб'єктів господарювання у сфері централізованого водопостачання та централізованого водовідведення</t>
  </si>
  <si>
    <t>Розрахунок тарифу для інших споживачів</t>
  </si>
  <si>
    <t>Розрахунок середньозваженого тарифу</t>
  </si>
  <si>
    <t>усього тис. грн. (без ПДВ)</t>
  </si>
  <si>
    <t>грн./куб. м</t>
  </si>
  <si>
    <t>А</t>
  </si>
  <si>
    <t>Б</t>
  </si>
  <si>
    <t>В</t>
  </si>
  <si>
    <t>1</t>
  </si>
  <si>
    <t>1.1</t>
  </si>
  <si>
    <t>прямі матеріальні витрати, зокрема:</t>
  </si>
  <si>
    <t>2</t>
  </si>
  <si>
    <t>1.1.1</t>
  </si>
  <si>
    <t>покупна вода</t>
  </si>
  <si>
    <t>3</t>
  </si>
  <si>
    <t>1.1.2</t>
  </si>
  <si>
    <t>покупна вода у природному стані</t>
  </si>
  <si>
    <t>4</t>
  </si>
  <si>
    <t>1.1.3</t>
  </si>
  <si>
    <t>електроенергія</t>
  </si>
  <si>
    <t>5</t>
  </si>
  <si>
    <t>1.1.4</t>
  </si>
  <si>
    <t>інші прямі матеріальні витрати, зокрема:</t>
  </si>
  <si>
    <t>6</t>
  </si>
  <si>
    <t>1.1.4.1</t>
  </si>
  <si>
    <t>1.1.4.2</t>
  </si>
  <si>
    <t>1.1.4.3</t>
  </si>
  <si>
    <t>1.1.4.4</t>
  </si>
  <si>
    <t>1.1.4.6</t>
  </si>
  <si>
    <t xml:space="preserve">        транспортні витрати</t>
  </si>
  <si>
    <t>1.2</t>
  </si>
  <si>
    <t>прямі витрати на оплату праці</t>
  </si>
  <si>
    <t>7</t>
  </si>
  <si>
    <t>1.3</t>
  </si>
  <si>
    <t>8</t>
  </si>
  <si>
    <t>1.3.1</t>
  </si>
  <si>
    <t>єдиний внесок на загальнообов'язкове державне соціальне страхування працівників</t>
  </si>
  <si>
    <t>9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</si>
  <si>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</si>
  <si>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</si>
  <si>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10</t>
  </si>
  <si>
    <t>1.3.3</t>
  </si>
  <si>
    <t>11</t>
  </si>
  <si>
    <t>1.4</t>
  </si>
  <si>
    <t>загальновиробничі витрати</t>
  </si>
  <si>
    <t>12</t>
  </si>
  <si>
    <t>Адміністративні витрати</t>
  </si>
  <si>
    <t>13</t>
  </si>
  <si>
    <t>Витрати на збут</t>
  </si>
  <si>
    <t>14</t>
  </si>
  <si>
    <t>Інші операційні витрати</t>
  </si>
  <si>
    <t>15</t>
  </si>
  <si>
    <t>Фінансові витрати</t>
  </si>
  <si>
    <t>16</t>
  </si>
  <si>
    <t>Витрати повної собівартості, усього</t>
  </si>
  <si>
    <t>17</t>
  </si>
  <si>
    <t>Витрати на відшкодування втрат</t>
  </si>
  <si>
    <t>18</t>
  </si>
  <si>
    <t>Плановий прибуток</t>
  </si>
  <si>
    <t>19</t>
  </si>
  <si>
    <t>8.1</t>
  </si>
  <si>
    <t>податок на прибуток</t>
  </si>
  <si>
    <t>20</t>
  </si>
  <si>
    <t>8.2</t>
  </si>
  <si>
    <t>чистий прибуток, зокрема :</t>
  </si>
  <si>
    <t>21</t>
  </si>
  <si>
    <t>8.2.1</t>
  </si>
  <si>
    <t>дивіденди</t>
  </si>
  <si>
    <t>22</t>
  </si>
  <si>
    <t>8.2.2</t>
  </si>
  <si>
    <t>резервний фонд (капітал)</t>
  </si>
  <si>
    <t>23</t>
  </si>
  <si>
    <t>8.2.3.</t>
  </si>
  <si>
    <t>24</t>
  </si>
  <si>
    <t>8.2.4</t>
  </si>
  <si>
    <t>інші виробничі інвестиції</t>
  </si>
  <si>
    <t>25</t>
  </si>
  <si>
    <t>8.2.5</t>
  </si>
  <si>
    <t>інше використання прибутку</t>
  </si>
  <si>
    <t>26</t>
  </si>
  <si>
    <t>27</t>
  </si>
  <si>
    <t>28</t>
  </si>
  <si>
    <t>Обсяг  реалізації тис. куб. м</t>
  </si>
  <si>
    <t>29</t>
  </si>
  <si>
    <t>ТОВ "КАРПАТНАФТОХІМ"</t>
  </si>
  <si>
    <t>Тариф</t>
  </si>
  <si>
    <t>30</t>
  </si>
  <si>
    <t>СТРУКТУРА</t>
  </si>
  <si>
    <t>Виробнича собівартість, усього, зокрема :</t>
  </si>
  <si>
    <t xml:space="preserve">         флокулянт</t>
  </si>
  <si>
    <t xml:space="preserve">         поліетиленові мішки</t>
  </si>
  <si>
    <t xml:space="preserve">        вода питна</t>
  </si>
  <si>
    <t>1.1.4.5</t>
  </si>
  <si>
    <t xml:space="preserve">        теплоенергія</t>
  </si>
  <si>
    <t xml:space="preserve">        транспортування теплоенергії</t>
  </si>
  <si>
    <t>інші прямі витрати, зокрема :</t>
  </si>
  <si>
    <t>інші прямі витрати</t>
  </si>
  <si>
    <t>Виробничі інвестиції на розвиток виробництва питної води  (виробничі інвестиції)</t>
  </si>
  <si>
    <t>Вартість водовідведення споживачам за відповідними тарифами</t>
  </si>
  <si>
    <t>Обсяг очищення стічних вод, тис.куб.м</t>
  </si>
  <si>
    <t>Керуючий справами виконавчого комітету                                                                                                                                                       Олег САВКА</t>
  </si>
  <si>
    <t xml:space="preserve">                                                        Продовження Додатка 2</t>
  </si>
  <si>
    <t>тарифів на централізоване водовідведення  ТОВ "КАРПАТНАФТОХІМ"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</si>
</sst>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₴_-;\-* #,##0.00\ _₴_-;_-* &quot;-&quot;??\ _₴_-;_-@_-"/>
    <numFmt numFmtId="165" formatCode="_-* #,##0.00_₴_-;\-* #,##0.00_₴_-;_-* &quot;-&quot;??_₴_-;_-@_-"/>
    <numFmt numFmtId="166" formatCode="_-* #,##0.000_₴_-;\-* #,##0.000_₴_-;_-* &quot;-&quot;??_₴_-;_-@_-"/>
    <numFmt numFmtId="167" formatCode="_-* #,##0.00\ _₽_-;\-* #,##0.00\ _₽_-;_-* &quot;-&quot;???\ _₽_-;_-@_-"/>
    <numFmt numFmtId="168" formatCode="_-* #,##0.000_₴_-;\-* #,##0.000_₴_-;_-* &quot;-&quot;?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64" fontId="4" fillId="0" borderId="16" xfId="1" applyFont="1" applyBorder="1" applyAlignment="1">
      <alignment horizontal="center" vertical="center"/>
    </xf>
    <xf numFmtId="164" fontId="4" fillId="0" borderId="17" xfId="1" applyFont="1" applyBorder="1" applyAlignment="1">
      <alignment horizontal="center" vertical="center"/>
    </xf>
    <xf numFmtId="164" fontId="2" fillId="0" borderId="16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6" xfId="1" applyFont="1" applyFill="1" applyBorder="1" applyAlignment="1">
      <alignment horizontal="center" vertical="center"/>
    </xf>
    <xf numFmtId="164" fontId="2" fillId="0" borderId="17" xfId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164" fontId="4" fillId="0" borderId="16" xfId="1" applyFont="1" applyFill="1" applyBorder="1" applyAlignment="1">
      <alignment horizontal="center" vertical="center"/>
    </xf>
    <xf numFmtId="164" fontId="4" fillId="0" borderId="17" xfId="1" applyFont="1" applyFill="1" applyBorder="1" applyAlignment="1">
      <alignment horizontal="center" vertical="center"/>
    </xf>
    <xf numFmtId="165" fontId="4" fillId="0" borderId="16" xfId="1" applyNumberFormat="1" applyFont="1" applyFill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166" fontId="4" fillId="0" borderId="16" xfId="1" applyNumberFormat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164" fontId="2" fillId="0" borderId="19" xfId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164" fontId="2" fillId="0" borderId="22" xfId="1" applyFont="1" applyBorder="1" applyAlignment="1">
      <alignment horizontal="center" vertical="center"/>
    </xf>
    <xf numFmtId="164" fontId="4" fillId="0" borderId="2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center" vertical="center"/>
    </xf>
    <xf numFmtId="164" fontId="4" fillId="0" borderId="24" xfId="1" applyFont="1" applyBorder="1" applyAlignment="1">
      <alignment horizontal="center" vertical="center"/>
    </xf>
    <xf numFmtId="164" fontId="4" fillId="0" borderId="24" xfId="1" applyFont="1" applyFill="1" applyBorder="1" applyAlignment="1">
      <alignment horizontal="center" vertical="center"/>
    </xf>
    <xf numFmtId="164" fontId="4" fillId="0" borderId="25" xfId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7" xfId="1" applyNumberFormat="1" applyFont="1" applyBorder="1" applyAlignment="1">
      <alignment horizontal="center" vertical="center"/>
    </xf>
    <xf numFmtId="165" fontId="2" fillId="0" borderId="16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4" fillId="0" borderId="17" xfId="1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8" xfId="1" applyFont="1" applyFill="1" applyBorder="1" applyAlignment="1">
      <alignment horizontal="center" vertical="center"/>
    </xf>
    <xf numFmtId="166" fontId="4" fillId="0" borderId="16" xfId="1" applyNumberFormat="1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49" fontId="2" fillId="0" borderId="27" xfId="0" applyNumberFormat="1" applyFont="1" applyBorder="1" applyAlignment="1">
      <alignment horizontal="center" vertical="center"/>
    </xf>
    <xf numFmtId="166" fontId="4" fillId="0" borderId="27" xfId="1" applyNumberFormat="1" applyFont="1" applyBorder="1" applyAlignment="1">
      <alignment horizontal="center" vertical="center"/>
    </xf>
    <xf numFmtId="166" fontId="4" fillId="0" borderId="27" xfId="1" applyNumberFormat="1" applyFont="1" applyFill="1" applyBorder="1" applyAlignment="1">
      <alignment horizontal="center" vertical="center"/>
    </xf>
    <xf numFmtId="164" fontId="2" fillId="0" borderId="28" xfId="1" applyFont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/>
    </xf>
    <xf numFmtId="164" fontId="2" fillId="0" borderId="22" xfId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0" xfId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4;&#1086;&#1082;&#1091;&#1084;&#1077;&#1085;&#1090;&#1080;%20&#1085;&#1072;%20&#1090;&#1072;&#1088;&#1080;&#1092;&#1080;%20&#1050;&#1053;&#1061;%20&#1085;&#1072;%202025\12%20&#1044;&#1086;&#1076;&#1072;&#1090;&#1082;&#1080;%2016,17,18,19,21,22,29,30_&#1050;&#1072;&#1083;&#1100;&#1082;&#1091;&#1083;&#1103;&#1094;&#1110;&#1111;_2025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16_(вода питна) 2025"/>
      <sheetName val="Додаток 17 (питна вода) 2025"/>
      <sheetName val="Додаток 29_(вода питна) 2025"/>
      <sheetName val="Додаток 18 (очищ.госп.ст.) 2025"/>
      <sheetName val="Додаток 19 (очищ.госп.ст.) 2025"/>
      <sheetName val="Додаток 30_(очищ.госп.ст.) 2025"/>
      <sheetName val="ФЗП_ВтаК"/>
      <sheetName val="ФЗП_НіОПСВ"/>
      <sheetName val="Додаток 21_ЗВВ"/>
      <sheetName val="Додаток 22_2025"/>
      <sheetName val="План. кальк.2025 вода пит"/>
      <sheetName val="План.кальк.2025 вода пром"/>
      <sheetName val="План. калькул. 2025 Очищення"/>
      <sheetName val="Вода пром.баланс"/>
    </sheetNames>
    <sheetDataSet>
      <sheetData sheetId="0">
        <row r="14">
          <cell r="J14">
            <v>13238.56</v>
          </cell>
        </row>
      </sheetData>
      <sheetData sheetId="1"/>
      <sheetData sheetId="2"/>
      <sheetData sheetId="3">
        <row r="11">
          <cell r="K11">
            <v>6.0510000000000002</v>
          </cell>
        </row>
        <row r="12">
          <cell r="K12">
            <v>4.2540000000000004</v>
          </cell>
        </row>
        <row r="14">
          <cell r="J14">
            <v>24646.639999999999</v>
          </cell>
          <cell r="K14">
            <v>4.1840000000000002</v>
          </cell>
        </row>
        <row r="15">
          <cell r="K15">
            <v>7.0000000000000007E-2</v>
          </cell>
        </row>
        <row r="16">
          <cell r="J16">
            <v>173.76</v>
          </cell>
          <cell r="K16">
            <v>0.03</v>
          </cell>
        </row>
        <row r="17">
          <cell r="J17">
            <v>23.25</v>
          </cell>
          <cell r="K17">
            <v>4.0000000000000001E-3</v>
          </cell>
        </row>
        <row r="18">
          <cell r="J18">
            <v>3.94</v>
          </cell>
          <cell r="K18">
            <v>1E-3</v>
          </cell>
        </row>
        <row r="19">
          <cell r="J19">
            <v>204.22</v>
          </cell>
          <cell r="K19">
            <v>3.5000000000000003E-2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1311.73</v>
          </cell>
          <cell r="K22">
            <v>0.223</v>
          </cell>
        </row>
        <row r="23">
          <cell r="K23">
            <v>0.06</v>
          </cell>
        </row>
        <row r="24">
          <cell r="J24">
            <v>288.58</v>
          </cell>
          <cell r="K24">
            <v>4.9000000000000002E-2</v>
          </cell>
        </row>
        <row r="25">
          <cell r="J25">
            <v>66.92</v>
          </cell>
          <cell r="K25">
            <v>1.0999999999999999E-2</v>
          </cell>
        </row>
        <row r="27">
          <cell r="J27">
            <v>8915.81</v>
          </cell>
          <cell r="K27">
            <v>1.514</v>
          </cell>
        </row>
        <row r="28">
          <cell r="J28">
            <v>6006.7430000000004</v>
          </cell>
          <cell r="K28">
            <v>1.2909999999999999</v>
          </cell>
        </row>
        <row r="32">
          <cell r="K32">
            <v>7.3420000000000005</v>
          </cell>
        </row>
        <row r="34">
          <cell r="K34">
            <v>0.29399999999999998</v>
          </cell>
        </row>
        <row r="35">
          <cell r="J35">
            <v>245.85119999999998</v>
          </cell>
          <cell r="K35">
            <v>5.2999999999999999E-2</v>
          </cell>
        </row>
        <row r="36">
          <cell r="K36">
            <v>0.24099999999999999</v>
          </cell>
        </row>
        <row r="39">
          <cell r="J39">
            <v>0</v>
          </cell>
        </row>
        <row r="40">
          <cell r="J40">
            <v>1119.9887999999999</v>
          </cell>
          <cell r="K40">
            <v>0.24099999999999999</v>
          </cell>
        </row>
        <row r="42">
          <cell r="J42">
            <v>5890.165</v>
          </cell>
        </row>
        <row r="44">
          <cell r="J44">
            <v>0</v>
          </cell>
        </row>
        <row r="45">
          <cell r="J45">
            <v>85.63</v>
          </cell>
        </row>
        <row r="46">
          <cell r="J46">
            <v>4565.59</v>
          </cell>
        </row>
        <row r="47">
          <cell r="J47">
            <v>1238.9449999999997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A3" sqref="A3:I3"/>
    </sheetView>
  </sheetViews>
  <sheetFormatPr defaultColWidth="9.140625" defaultRowHeight="15" x14ac:dyDescent="0.25"/>
  <cols>
    <col min="1" max="1" width="7.7109375" style="25" customWidth="1"/>
    <col min="2" max="2" width="42.85546875" style="28" customWidth="1"/>
    <col min="3" max="3" width="7.7109375" style="25" customWidth="1"/>
    <col min="4" max="4" width="13.85546875" style="25" customWidth="1"/>
    <col min="5" max="5" width="14.140625" style="25" customWidth="1"/>
    <col min="6" max="6" width="14.7109375" style="25" customWidth="1"/>
    <col min="7" max="7" width="12.140625" style="25" customWidth="1"/>
    <col min="8" max="8" width="16.7109375" style="25" customWidth="1"/>
    <col min="9" max="9" width="11.28515625" style="29" customWidth="1"/>
    <col min="10" max="10" width="12.42578125" style="25" bestFit="1" customWidth="1"/>
    <col min="11" max="16384" width="9.140625" style="25"/>
  </cols>
  <sheetData>
    <row r="1" spans="1:9" x14ac:dyDescent="0.25">
      <c r="F1" s="71" t="s">
        <v>104</v>
      </c>
      <c r="G1" s="71"/>
      <c r="H1" s="71"/>
      <c r="I1" s="71"/>
    </row>
    <row r="2" spans="1:9" x14ac:dyDescent="0.25">
      <c r="A2" s="74" t="s">
        <v>90</v>
      </c>
      <c r="B2" s="74"/>
      <c r="C2" s="74"/>
      <c r="D2" s="74"/>
      <c r="E2" s="74"/>
      <c r="F2" s="74"/>
      <c r="G2" s="74"/>
      <c r="H2" s="74"/>
      <c r="I2" s="74"/>
    </row>
    <row r="3" spans="1:9" ht="24.75" customHeight="1" x14ac:dyDescent="0.25">
      <c r="A3" s="75" t="s">
        <v>105</v>
      </c>
      <c r="B3" s="75"/>
      <c r="C3" s="75"/>
      <c r="D3" s="75"/>
      <c r="E3" s="75"/>
      <c r="F3" s="75"/>
      <c r="G3" s="75"/>
      <c r="H3" s="75"/>
      <c r="I3" s="75"/>
    </row>
    <row r="4" spans="1:9" ht="15.75" thickBot="1" x14ac:dyDescent="0.3"/>
    <row r="5" spans="1:9" ht="98.25" customHeight="1" thickBot="1" x14ac:dyDescent="0.3">
      <c r="A5" s="76" t="s">
        <v>0</v>
      </c>
      <c r="B5" s="78" t="s">
        <v>1</v>
      </c>
      <c r="C5" s="80" t="s">
        <v>2</v>
      </c>
      <c r="D5" s="82" t="s">
        <v>3</v>
      </c>
      <c r="E5" s="83"/>
      <c r="F5" s="84" t="s">
        <v>4</v>
      </c>
      <c r="G5" s="85"/>
      <c r="H5" s="86" t="s">
        <v>5</v>
      </c>
      <c r="I5" s="87"/>
    </row>
    <row r="6" spans="1:9" ht="43.5" thickBot="1" x14ac:dyDescent="0.3">
      <c r="A6" s="77"/>
      <c r="B6" s="79"/>
      <c r="C6" s="81"/>
      <c r="D6" s="2" t="s">
        <v>6</v>
      </c>
      <c r="E6" s="1" t="s">
        <v>7</v>
      </c>
      <c r="F6" s="2" t="s">
        <v>6</v>
      </c>
      <c r="G6" s="1" t="s">
        <v>7</v>
      </c>
      <c r="H6" s="2" t="s">
        <v>6</v>
      </c>
      <c r="I6" s="27" t="s">
        <v>7</v>
      </c>
    </row>
    <row r="7" spans="1:9" ht="15.75" thickBot="1" x14ac:dyDescent="0.3">
      <c r="A7" s="26" t="s">
        <v>8</v>
      </c>
      <c r="B7" s="30" t="s">
        <v>9</v>
      </c>
      <c r="C7" s="1" t="s">
        <v>10</v>
      </c>
      <c r="D7" s="2">
        <v>1</v>
      </c>
      <c r="E7" s="1">
        <v>2</v>
      </c>
      <c r="F7" s="2">
        <v>3</v>
      </c>
      <c r="G7" s="1">
        <v>4</v>
      </c>
      <c r="H7" s="2">
        <v>5</v>
      </c>
      <c r="I7" s="27">
        <v>6</v>
      </c>
    </row>
    <row r="8" spans="1:9" ht="15.75" customHeight="1" x14ac:dyDescent="0.25">
      <c r="A8" s="31">
        <v>1</v>
      </c>
      <c r="B8" s="32" t="s">
        <v>91</v>
      </c>
      <c r="C8" s="33" t="s">
        <v>11</v>
      </c>
      <c r="D8" s="34">
        <f>D9+D21+D25+D20</f>
        <v>27624.204370000003</v>
      </c>
      <c r="E8" s="34">
        <f t="shared" ref="E8:F8" si="0">E9+E21+E25+E20</f>
        <v>6.0468442216668592</v>
      </c>
      <c r="F8" s="34">
        <f t="shared" si="0"/>
        <v>8010.6456299999991</v>
      </c>
      <c r="G8" s="34">
        <f>G9+G21+G25+G20</f>
        <v>6.0490000000000004</v>
      </c>
      <c r="H8" s="35">
        <f>H9+H21+H25+H20</f>
        <v>35634.85</v>
      </c>
      <c r="I8" s="36">
        <f>'[1]Додаток 18 (очищ.госп.ст.) 2025'!K11</f>
        <v>6.0510000000000002</v>
      </c>
    </row>
    <row r="9" spans="1:9" ht="15.75" customHeight="1" x14ac:dyDescent="0.25">
      <c r="A9" s="3" t="s">
        <v>12</v>
      </c>
      <c r="B9" s="37" t="s">
        <v>13</v>
      </c>
      <c r="C9" s="4" t="s">
        <v>14</v>
      </c>
      <c r="D9" s="5">
        <f>D10+D12+D13</f>
        <v>19421.31437</v>
      </c>
      <c r="E9" s="5">
        <f t="shared" ref="E9:F9" si="1">E10+E12+E13</f>
        <v>4.2538442216668599</v>
      </c>
      <c r="F9" s="5">
        <f t="shared" si="1"/>
        <v>5630.4956299999994</v>
      </c>
      <c r="G9" s="5">
        <f>G10+G12+G13</f>
        <v>4.2550000000000008</v>
      </c>
      <c r="H9" s="13">
        <f t="shared" ref="H9" si="2">H10+H12+H13</f>
        <v>25051.809999999998</v>
      </c>
      <c r="I9" s="14">
        <f>'[1]Додаток 18 (очищ.госп.ст.) 2025'!K12</f>
        <v>4.2540000000000004</v>
      </c>
    </row>
    <row r="10" spans="1:9" ht="15.75" customHeight="1" x14ac:dyDescent="0.25">
      <c r="A10" s="3" t="s">
        <v>15</v>
      </c>
      <c r="B10" s="37" t="s">
        <v>16</v>
      </c>
      <c r="C10" s="4" t="s">
        <v>17</v>
      </c>
      <c r="D10" s="7">
        <v>0</v>
      </c>
      <c r="E10" s="7">
        <f t="shared" ref="E10:E11" si="3">I10</f>
        <v>0</v>
      </c>
      <c r="F10" s="7">
        <v>0</v>
      </c>
      <c r="G10" s="7">
        <f t="shared" ref="G10:G29" si="4">I10</f>
        <v>0</v>
      </c>
      <c r="H10" s="9">
        <v>0</v>
      </c>
      <c r="I10" s="8">
        <v>0</v>
      </c>
    </row>
    <row r="11" spans="1:9" ht="15.75" customHeight="1" x14ac:dyDescent="0.25">
      <c r="A11" s="3" t="s">
        <v>18</v>
      </c>
      <c r="B11" s="37" t="s">
        <v>19</v>
      </c>
      <c r="C11" s="4" t="s">
        <v>20</v>
      </c>
      <c r="D11" s="7">
        <v>0</v>
      </c>
      <c r="E11" s="7">
        <f t="shared" si="3"/>
        <v>0</v>
      </c>
      <c r="F11" s="7">
        <v>0</v>
      </c>
      <c r="G11" s="7">
        <f t="shared" si="4"/>
        <v>0</v>
      </c>
      <c r="H11" s="9">
        <v>0</v>
      </c>
      <c r="I11" s="8">
        <v>0</v>
      </c>
    </row>
    <row r="12" spans="1:9" x14ac:dyDescent="0.25">
      <c r="A12" s="3" t="s">
        <v>21</v>
      </c>
      <c r="B12" s="38" t="s">
        <v>22</v>
      </c>
      <c r="C12" s="4" t="s">
        <v>23</v>
      </c>
      <c r="D12" s="9">
        <f>ROUND(E12*$D$42,2)</f>
        <v>19102.43</v>
      </c>
      <c r="E12" s="7">
        <f>I12</f>
        <v>4.1840000000000002</v>
      </c>
      <c r="F12" s="9">
        <f>H12-D12</f>
        <v>5544.2099999999991</v>
      </c>
      <c r="G12" s="7">
        <f>ROUND(F12/($F$42+$F$43),2)</f>
        <v>4.1900000000000004</v>
      </c>
      <c r="H12" s="9">
        <f>'[1]Додаток 18 (очищ.госп.ст.) 2025'!J14</f>
        <v>24646.639999999999</v>
      </c>
      <c r="I12" s="10">
        <f>'[1]Додаток 18 (очищ.госп.ст.) 2025'!K14</f>
        <v>4.1840000000000002</v>
      </c>
    </row>
    <row r="13" spans="1:9" x14ac:dyDescent="0.25">
      <c r="A13" s="3" t="s">
        <v>24</v>
      </c>
      <c r="B13" s="38" t="s">
        <v>25</v>
      </c>
      <c r="C13" s="4" t="s">
        <v>26</v>
      </c>
      <c r="D13" s="9">
        <f>SUM(D14:D19)</f>
        <v>318.88436999999999</v>
      </c>
      <c r="E13" s="9">
        <f t="shared" ref="E13:G13" si="5">SUM(E14:E19)</f>
        <v>6.9844221666860148E-2</v>
      </c>
      <c r="F13" s="9">
        <f t="shared" si="5"/>
        <v>86.285629999999969</v>
      </c>
      <c r="G13" s="9">
        <f t="shared" si="5"/>
        <v>6.5000000000000002E-2</v>
      </c>
      <c r="H13" s="9">
        <f>SUM(H14:H19)</f>
        <v>405.16999999999996</v>
      </c>
      <c r="I13" s="10">
        <f>'[1]Додаток 18 (очищ.госп.ст.) 2025'!K15</f>
        <v>7.0000000000000007E-2</v>
      </c>
    </row>
    <row r="14" spans="1:9" x14ac:dyDescent="0.25">
      <c r="A14" s="3" t="s">
        <v>27</v>
      </c>
      <c r="B14" s="39" t="s">
        <v>92</v>
      </c>
      <c r="C14" s="4"/>
      <c r="D14" s="9">
        <f t="shared" ref="D14:D20" si="6">ROUND(E14*$D$42,2)</f>
        <v>136.97</v>
      </c>
      <c r="E14" s="7">
        <f t="shared" ref="E14:E29" si="7">I14</f>
        <v>0.03</v>
      </c>
      <c r="F14" s="7">
        <f t="shared" ref="F14:F20" si="8">H14-D14</f>
        <v>36.789999999999992</v>
      </c>
      <c r="G14" s="7">
        <f t="shared" ref="G14:G20" si="9">ROUND(F14/($F$42+$F$43),2)</f>
        <v>0.03</v>
      </c>
      <c r="H14" s="9">
        <f>'[1]Додаток 18 (очищ.госп.ст.) 2025'!J16</f>
        <v>173.76</v>
      </c>
      <c r="I14" s="8">
        <f>'[1]Додаток 18 (очищ.госп.ст.) 2025'!K16</f>
        <v>0.03</v>
      </c>
    </row>
    <row r="15" spans="1:9" x14ac:dyDescent="0.25">
      <c r="A15" s="3" t="s">
        <v>28</v>
      </c>
      <c r="B15" s="39" t="s">
        <v>93</v>
      </c>
      <c r="C15" s="4"/>
      <c r="D15" s="9">
        <f t="shared" si="6"/>
        <v>18.260000000000002</v>
      </c>
      <c r="E15" s="40">
        <f t="shared" si="7"/>
        <v>4.0000000000000001E-3</v>
      </c>
      <c r="F15" s="7">
        <f t="shared" si="8"/>
        <v>4.9899999999999984</v>
      </c>
      <c r="G15" s="40">
        <f>ROUND(F15/($F$42+$F$43),3)</f>
        <v>4.0000000000000001E-3</v>
      </c>
      <c r="H15" s="9">
        <f>'[1]Додаток 18 (очищ.госп.ст.) 2025'!J17</f>
        <v>23.25</v>
      </c>
      <c r="I15" s="41">
        <f>'[1]Додаток 18 (очищ.госп.ст.) 2025'!K17</f>
        <v>4.0000000000000001E-3</v>
      </c>
    </row>
    <row r="16" spans="1:9" x14ac:dyDescent="0.25">
      <c r="A16" s="3" t="s">
        <v>29</v>
      </c>
      <c r="B16" s="38" t="s">
        <v>32</v>
      </c>
      <c r="C16" s="4"/>
      <c r="D16" s="9">
        <f>H16-F16</f>
        <v>3.8543699999999999</v>
      </c>
      <c r="E16" s="40">
        <f>D16/D42</f>
        <v>8.4422166686014288E-4</v>
      </c>
      <c r="F16" s="7">
        <f>G16*F42</f>
        <v>8.5629999999999998E-2</v>
      </c>
      <c r="G16" s="40">
        <f>I16</f>
        <v>1E-3</v>
      </c>
      <c r="H16" s="9">
        <f>'[1]Додаток 18 (очищ.госп.ст.) 2025'!J18</f>
        <v>3.94</v>
      </c>
      <c r="I16" s="41">
        <f>'[1]Додаток 18 (очищ.госп.ст.) 2025'!K18</f>
        <v>1E-3</v>
      </c>
    </row>
    <row r="17" spans="1:9" x14ac:dyDescent="0.25">
      <c r="A17" s="3" t="s">
        <v>30</v>
      </c>
      <c r="B17" s="38" t="s">
        <v>94</v>
      </c>
      <c r="C17" s="4"/>
      <c r="D17" s="9">
        <f t="shared" si="6"/>
        <v>159.80000000000001</v>
      </c>
      <c r="E17" s="7">
        <f t="shared" si="7"/>
        <v>3.5000000000000003E-2</v>
      </c>
      <c r="F17" s="7">
        <f t="shared" si="8"/>
        <v>44.419999999999987</v>
      </c>
      <c r="G17" s="7">
        <f t="shared" si="9"/>
        <v>0.03</v>
      </c>
      <c r="H17" s="9">
        <f>'[1]Додаток 18 (очищ.госп.ст.) 2025'!J19</f>
        <v>204.22</v>
      </c>
      <c r="I17" s="8">
        <f>'[1]Додаток 18 (очищ.госп.ст.) 2025'!K19</f>
        <v>3.5000000000000003E-2</v>
      </c>
    </row>
    <row r="18" spans="1:9" x14ac:dyDescent="0.25">
      <c r="A18" s="3" t="s">
        <v>95</v>
      </c>
      <c r="B18" s="38" t="s">
        <v>96</v>
      </c>
      <c r="C18" s="4"/>
      <c r="D18" s="9">
        <f t="shared" si="6"/>
        <v>0</v>
      </c>
      <c r="E18" s="7">
        <f t="shared" si="7"/>
        <v>0</v>
      </c>
      <c r="F18" s="7">
        <f t="shared" si="8"/>
        <v>0</v>
      </c>
      <c r="G18" s="7">
        <f t="shared" si="9"/>
        <v>0</v>
      </c>
      <c r="H18" s="9">
        <f>'[1]Додаток 18 (очищ.госп.ст.) 2025'!J20</f>
        <v>0</v>
      </c>
      <c r="I18" s="8">
        <f>'[1]Додаток 18 (очищ.госп.ст.) 2025'!K20</f>
        <v>0</v>
      </c>
    </row>
    <row r="19" spans="1:9" x14ac:dyDescent="0.25">
      <c r="A19" s="3" t="s">
        <v>31</v>
      </c>
      <c r="B19" s="38" t="s">
        <v>97</v>
      </c>
      <c r="C19" s="4"/>
      <c r="D19" s="9">
        <f t="shared" si="6"/>
        <v>0</v>
      </c>
      <c r="E19" s="7">
        <f t="shared" si="7"/>
        <v>0</v>
      </c>
      <c r="F19" s="7">
        <f t="shared" si="8"/>
        <v>0</v>
      </c>
      <c r="G19" s="7">
        <f t="shared" si="9"/>
        <v>0</v>
      </c>
      <c r="H19" s="9">
        <f>'[1]Додаток 18 (очищ.госп.ст.) 2025'!J21</f>
        <v>0</v>
      </c>
      <c r="I19" s="8">
        <f>'[1]Додаток 18 (очищ.госп.ст.) 2025'!K21</f>
        <v>0</v>
      </c>
    </row>
    <row r="20" spans="1:9" x14ac:dyDescent="0.25">
      <c r="A20" s="3" t="s">
        <v>33</v>
      </c>
      <c r="B20" s="38" t="s">
        <v>34</v>
      </c>
      <c r="C20" s="4" t="s">
        <v>35</v>
      </c>
      <c r="D20" s="13">
        <f t="shared" si="6"/>
        <v>1018.13</v>
      </c>
      <c r="E20" s="13">
        <f t="shared" si="7"/>
        <v>0.223</v>
      </c>
      <c r="F20" s="13">
        <f t="shared" si="8"/>
        <v>293.60000000000002</v>
      </c>
      <c r="G20" s="13">
        <f t="shared" si="9"/>
        <v>0.22</v>
      </c>
      <c r="H20" s="13">
        <f>'[1]Додаток 18 (очищ.госп.ст.) 2025'!J22</f>
        <v>1311.73</v>
      </c>
      <c r="I20" s="6">
        <f>'[1]Додаток 18 (очищ.госп.ст.) 2025'!K22</f>
        <v>0.223</v>
      </c>
    </row>
    <row r="21" spans="1:9" x14ac:dyDescent="0.25">
      <c r="A21" s="3" t="s">
        <v>36</v>
      </c>
      <c r="B21" s="38" t="s">
        <v>98</v>
      </c>
      <c r="C21" s="4" t="s">
        <v>37</v>
      </c>
      <c r="D21" s="15">
        <f>D22+D23+D24</f>
        <v>273.93</v>
      </c>
      <c r="E21" s="15">
        <f t="shared" ref="E21:G21" si="10">E22+E23+E24</f>
        <v>0.06</v>
      </c>
      <c r="F21" s="15">
        <f t="shared" si="10"/>
        <v>81.569999999999979</v>
      </c>
      <c r="G21" s="15">
        <f t="shared" si="10"/>
        <v>6.0000000000000005E-2</v>
      </c>
      <c r="H21" s="15">
        <f>SUM(H22:H23)</f>
        <v>355.5</v>
      </c>
      <c r="I21" s="6">
        <f>'[1]Додаток 18 (очищ.госп.ст.) 2025'!K23</f>
        <v>0.06</v>
      </c>
    </row>
    <row r="22" spans="1:9" ht="30" x14ac:dyDescent="0.25">
      <c r="A22" s="3" t="s">
        <v>38</v>
      </c>
      <c r="B22" s="38" t="s">
        <v>39</v>
      </c>
      <c r="C22" s="4" t="s">
        <v>40</v>
      </c>
      <c r="D22" s="9">
        <f>ROUND(E22*$D$42,2)</f>
        <v>223.71</v>
      </c>
      <c r="E22" s="7">
        <f t="shared" si="7"/>
        <v>4.9000000000000002E-2</v>
      </c>
      <c r="F22" s="7">
        <f t="shared" ref="F22:F23" si="11">H22-D22</f>
        <v>64.869999999999976</v>
      </c>
      <c r="G22" s="7">
        <f t="shared" ref="G22:G23" si="12">ROUND(F22/($F$42+$F$43),2)</f>
        <v>0.05</v>
      </c>
      <c r="H22" s="42">
        <f>'[1]Додаток 18 (очищ.госп.ст.) 2025'!J24</f>
        <v>288.58</v>
      </c>
      <c r="I22" s="43">
        <f>'[1]Додаток 18 (очищ.госп.ст.) 2025'!K24</f>
        <v>4.9000000000000002E-2</v>
      </c>
    </row>
    <row r="23" spans="1:9" ht="45" x14ac:dyDescent="0.25">
      <c r="A23" s="3" t="s">
        <v>41</v>
      </c>
      <c r="B23" s="38" t="s">
        <v>42</v>
      </c>
      <c r="C23" s="4" t="s">
        <v>43</v>
      </c>
      <c r="D23" s="9">
        <f>ROUND(E23*$D$42,2)</f>
        <v>50.22</v>
      </c>
      <c r="E23" s="7">
        <f t="shared" si="7"/>
        <v>1.0999999999999999E-2</v>
      </c>
      <c r="F23" s="7">
        <f t="shared" si="11"/>
        <v>16.700000000000003</v>
      </c>
      <c r="G23" s="7">
        <f t="shared" si="12"/>
        <v>0.01</v>
      </c>
      <c r="H23" s="42">
        <f>'[1]Додаток 18 (очищ.госп.ст.) 2025'!J25</f>
        <v>66.92</v>
      </c>
      <c r="I23" s="43">
        <f>'[1]Додаток 18 (очищ.госп.ст.) 2025'!K25</f>
        <v>1.0999999999999999E-2</v>
      </c>
    </row>
    <row r="24" spans="1:9" x14ac:dyDescent="0.25">
      <c r="A24" s="3" t="s">
        <v>44</v>
      </c>
      <c r="B24" s="38" t="s">
        <v>99</v>
      </c>
      <c r="C24" s="4" t="s">
        <v>45</v>
      </c>
      <c r="D24" s="7">
        <v>0</v>
      </c>
      <c r="E24" s="7">
        <f t="shared" si="7"/>
        <v>0</v>
      </c>
      <c r="F24" s="7">
        <v>0</v>
      </c>
      <c r="G24" s="7">
        <f t="shared" si="4"/>
        <v>0</v>
      </c>
      <c r="H24" s="7">
        <v>0</v>
      </c>
      <c r="I24" s="8">
        <v>0</v>
      </c>
    </row>
    <row r="25" spans="1:9" x14ac:dyDescent="0.25">
      <c r="A25" s="3" t="s">
        <v>46</v>
      </c>
      <c r="B25" s="38" t="s">
        <v>47</v>
      </c>
      <c r="C25" s="4" t="s">
        <v>48</v>
      </c>
      <c r="D25" s="15">
        <f>ROUND(H25/$D$41*$D$42,2)</f>
        <v>6910.83</v>
      </c>
      <c r="E25" s="15">
        <f>ROUND(D25/D42,2)</f>
        <v>1.51</v>
      </c>
      <c r="F25" s="15">
        <f>H25-D25</f>
        <v>2004.9799999999996</v>
      </c>
      <c r="G25" s="15">
        <f>ROUND(F25/($F$42+$F$43),3)</f>
        <v>1.514</v>
      </c>
      <c r="H25" s="13">
        <f>'[1]Додаток 18 (очищ.госп.ст.) 2025'!J27</f>
        <v>8915.81</v>
      </c>
      <c r="I25" s="44">
        <f>'[1]Додаток 18 (очищ.госп.ст.) 2025'!K27</f>
        <v>1.514</v>
      </c>
    </row>
    <row r="26" spans="1:9" s="45" customFormat="1" x14ac:dyDescent="0.25">
      <c r="A26" s="11" t="s">
        <v>14</v>
      </c>
      <c r="B26" s="38" t="s">
        <v>49</v>
      </c>
      <c r="C26" s="4" t="s">
        <v>50</v>
      </c>
      <c r="D26" s="15">
        <f>ROUND(E26*$D$42,2)</f>
        <v>5798.3</v>
      </c>
      <c r="E26" s="15">
        <f>ROUND(I26/H42*D42,2)</f>
        <v>1.27</v>
      </c>
      <c r="F26" s="15">
        <f>H26-D26</f>
        <v>208.44300000000021</v>
      </c>
      <c r="G26" s="15">
        <f>ROUND(F26/F42,3)</f>
        <v>2.4340000000000002</v>
      </c>
      <c r="H26" s="13">
        <f>'[1]Додаток 18 (очищ.госп.ст.) 2025'!J28</f>
        <v>6006.7430000000004</v>
      </c>
      <c r="I26" s="14">
        <f>'[1]Додаток 18 (очищ.госп.ст.) 2025'!K28</f>
        <v>1.2909999999999999</v>
      </c>
    </row>
    <row r="27" spans="1:9" x14ac:dyDescent="0.25">
      <c r="A27" s="3" t="s">
        <v>17</v>
      </c>
      <c r="B27" s="38" t="s">
        <v>51</v>
      </c>
      <c r="C27" s="4" t="s">
        <v>52</v>
      </c>
      <c r="D27" s="7">
        <v>0</v>
      </c>
      <c r="E27" s="7">
        <f t="shared" si="7"/>
        <v>0</v>
      </c>
      <c r="F27" s="7">
        <v>0</v>
      </c>
      <c r="G27" s="7">
        <f t="shared" si="4"/>
        <v>0</v>
      </c>
      <c r="H27" s="9">
        <v>0</v>
      </c>
      <c r="I27" s="8">
        <v>0</v>
      </c>
    </row>
    <row r="28" spans="1:9" x14ac:dyDescent="0.25">
      <c r="A28" s="3" t="s">
        <v>20</v>
      </c>
      <c r="B28" s="38" t="s">
        <v>53</v>
      </c>
      <c r="C28" s="4" t="s">
        <v>54</v>
      </c>
      <c r="D28" s="7">
        <v>0</v>
      </c>
      <c r="E28" s="7">
        <f t="shared" si="7"/>
        <v>0</v>
      </c>
      <c r="F28" s="7">
        <v>0</v>
      </c>
      <c r="G28" s="7">
        <f t="shared" si="4"/>
        <v>0</v>
      </c>
      <c r="H28" s="9">
        <v>0</v>
      </c>
      <c r="I28" s="8">
        <v>0</v>
      </c>
    </row>
    <row r="29" spans="1:9" x14ac:dyDescent="0.25">
      <c r="A29" s="3" t="s">
        <v>23</v>
      </c>
      <c r="B29" s="38" t="s">
        <v>55</v>
      </c>
      <c r="C29" s="4" t="s">
        <v>56</v>
      </c>
      <c r="D29" s="7">
        <v>0</v>
      </c>
      <c r="E29" s="7">
        <f t="shared" si="7"/>
        <v>0</v>
      </c>
      <c r="F29" s="7">
        <v>0</v>
      </c>
      <c r="G29" s="7">
        <f t="shared" si="4"/>
        <v>0</v>
      </c>
      <c r="H29" s="9">
        <v>0</v>
      </c>
      <c r="I29" s="8">
        <v>0</v>
      </c>
    </row>
    <row r="30" spans="1:9" x14ac:dyDescent="0.25">
      <c r="A30" s="3" t="s">
        <v>26</v>
      </c>
      <c r="B30" s="38" t="s">
        <v>57</v>
      </c>
      <c r="C30" s="4" t="s">
        <v>58</v>
      </c>
      <c r="D30" s="5">
        <f>D8+D26</f>
        <v>33422.504370000002</v>
      </c>
      <c r="E30" s="5">
        <f>E8+E26</f>
        <v>7.3168442216668588</v>
      </c>
      <c r="F30" s="5">
        <f>F8+F26</f>
        <v>8219.0886299999984</v>
      </c>
      <c r="G30" s="5">
        <f>G8+G26</f>
        <v>8.4830000000000005</v>
      </c>
      <c r="H30" s="13">
        <f>H8+H26</f>
        <v>41641.593000000001</v>
      </c>
      <c r="I30" s="6">
        <f>'[1]Додаток 18 (очищ.госп.ст.) 2025'!K32</f>
        <v>7.3420000000000005</v>
      </c>
    </row>
    <row r="31" spans="1:9" s="45" customFormat="1" x14ac:dyDescent="0.25">
      <c r="A31" s="11" t="s">
        <v>35</v>
      </c>
      <c r="B31" s="38" t="s">
        <v>59</v>
      </c>
      <c r="C31" s="12" t="s">
        <v>60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4">
        <v>0</v>
      </c>
    </row>
    <row r="32" spans="1:9" x14ac:dyDescent="0.25">
      <c r="A32" s="3" t="s">
        <v>37</v>
      </c>
      <c r="B32" s="38" t="s">
        <v>61</v>
      </c>
      <c r="C32" s="4" t="s">
        <v>62</v>
      </c>
      <c r="D32" s="16">
        <f>H32-F32</f>
        <v>1336.73</v>
      </c>
      <c r="E32" s="16">
        <f>ROUND(E30*4%,3)</f>
        <v>0.29299999999999998</v>
      </c>
      <c r="F32" s="5">
        <f>ROUND(G32*$F$42,2)</f>
        <v>29.11</v>
      </c>
      <c r="G32" s="16">
        <f>ROUND(G30*4%,2)</f>
        <v>0.34</v>
      </c>
      <c r="H32" s="13">
        <f>H33+H34</f>
        <v>1365.84</v>
      </c>
      <c r="I32" s="5">
        <f>'[1]Додаток 18 (очищ.госп.ст.) 2025'!K34</f>
        <v>0.29399999999999998</v>
      </c>
    </row>
    <row r="33" spans="1:9" x14ac:dyDescent="0.25">
      <c r="A33" s="3" t="s">
        <v>63</v>
      </c>
      <c r="B33" s="38" t="s">
        <v>64</v>
      </c>
      <c r="C33" s="4" t="s">
        <v>65</v>
      </c>
      <c r="D33" s="17">
        <f>H33-F33</f>
        <v>240.63119999999998</v>
      </c>
      <c r="E33" s="17">
        <f>ROUND(E32*18%,3)</f>
        <v>5.2999999999999999E-2</v>
      </c>
      <c r="F33" s="17">
        <f>ROUND(G33*$F$42,2)</f>
        <v>5.22</v>
      </c>
      <c r="G33" s="17">
        <f>ROUND(G32*18%,3)</f>
        <v>6.0999999999999999E-2</v>
      </c>
      <c r="H33" s="9">
        <f>'[1]Додаток 18 (очищ.госп.ст.) 2025'!J35</f>
        <v>245.85119999999998</v>
      </c>
      <c r="I33" s="9">
        <f>'[1]Додаток 18 (очищ.госп.ст.) 2025'!K35</f>
        <v>5.2999999999999999E-2</v>
      </c>
    </row>
    <row r="34" spans="1:9" x14ac:dyDescent="0.25">
      <c r="A34" s="3" t="s">
        <v>66</v>
      </c>
      <c r="B34" s="38" t="s">
        <v>67</v>
      </c>
      <c r="C34" s="4" t="s">
        <v>68</v>
      </c>
      <c r="D34" s="17">
        <f>H34-F34</f>
        <v>1096.0987999999998</v>
      </c>
      <c r="E34" s="7">
        <f>E32-E33</f>
        <v>0.24</v>
      </c>
      <c r="F34" s="17">
        <f>ROUND(G34*$F$42,2)</f>
        <v>23.89</v>
      </c>
      <c r="G34" s="7">
        <f>G32-G33</f>
        <v>0.27900000000000003</v>
      </c>
      <c r="H34" s="9">
        <f>H35+H36+H38+H39+H37</f>
        <v>1119.9887999999999</v>
      </c>
      <c r="I34" s="7">
        <f>'[1]Додаток 18 (очищ.госп.ст.) 2025'!K36</f>
        <v>0.24099999999999999</v>
      </c>
    </row>
    <row r="35" spans="1:9" x14ac:dyDescent="0.25">
      <c r="A35" s="3" t="s">
        <v>69</v>
      </c>
      <c r="B35" s="38" t="s">
        <v>70</v>
      </c>
      <c r="C35" s="4" t="s">
        <v>71</v>
      </c>
      <c r="D35" s="7">
        <v>0</v>
      </c>
      <c r="E35" s="7">
        <v>0</v>
      </c>
      <c r="F35" s="7">
        <v>0</v>
      </c>
      <c r="G35" s="7">
        <v>0</v>
      </c>
      <c r="H35" s="9">
        <v>0</v>
      </c>
      <c r="I35" s="7">
        <v>0</v>
      </c>
    </row>
    <row r="36" spans="1:9" x14ac:dyDescent="0.25">
      <c r="A36" s="3" t="s">
        <v>72</v>
      </c>
      <c r="B36" s="38" t="s">
        <v>73</v>
      </c>
      <c r="C36" s="4" t="s">
        <v>74</v>
      </c>
      <c r="D36" s="7">
        <v>0</v>
      </c>
      <c r="E36" s="7">
        <v>0</v>
      </c>
      <c r="F36" s="7">
        <v>0</v>
      </c>
      <c r="G36" s="7">
        <v>0</v>
      </c>
      <c r="H36" s="9">
        <v>0</v>
      </c>
      <c r="I36" s="7">
        <v>0</v>
      </c>
    </row>
    <row r="37" spans="1:9" ht="30" x14ac:dyDescent="0.25">
      <c r="A37" s="3" t="s">
        <v>75</v>
      </c>
      <c r="B37" s="38" t="s">
        <v>100</v>
      </c>
      <c r="C37" s="4" t="s">
        <v>76</v>
      </c>
      <c r="D37" s="17">
        <f>H37/H42*D42</f>
        <v>0</v>
      </c>
      <c r="E37" s="17">
        <v>0</v>
      </c>
      <c r="F37" s="7">
        <f>H37/H42*F42</f>
        <v>0</v>
      </c>
      <c r="G37" s="17">
        <v>0</v>
      </c>
      <c r="H37" s="9">
        <f>'[1]Додаток 18 (очищ.госп.ст.) 2025'!J39</f>
        <v>0</v>
      </c>
      <c r="I37" s="17">
        <v>0</v>
      </c>
    </row>
    <row r="38" spans="1:9" ht="15" customHeight="1" x14ac:dyDescent="0.25">
      <c r="A38" s="3" t="s">
        <v>77</v>
      </c>
      <c r="B38" s="38" t="s">
        <v>78</v>
      </c>
      <c r="C38" s="4" t="s">
        <v>79</v>
      </c>
      <c r="D38" s="7">
        <v>0</v>
      </c>
      <c r="E38" s="7">
        <v>0</v>
      </c>
      <c r="F38" s="7">
        <v>0</v>
      </c>
      <c r="G38" s="7">
        <v>0</v>
      </c>
      <c r="H38" s="9">
        <v>0</v>
      </c>
      <c r="I38" s="7">
        <v>0</v>
      </c>
    </row>
    <row r="39" spans="1:9" x14ac:dyDescent="0.25">
      <c r="A39" s="3" t="s">
        <v>80</v>
      </c>
      <c r="B39" s="38" t="s">
        <v>81</v>
      </c>
      <c r="C39" s="4" t="s">
        <v>82</v>
      </c>
      <c r="D39" s="17">
        <f>D34</f>
        <v>1096.0987999999998</v>
      </c>
      <c r="E39" s="7">
        <f>E34</f>
        <v>0.24</v>
      </c>
      <c r="F39" s="17">
        <f>F34</f>
        <v>23.89</v>
      </c>
      <c r="G39" s="7">
        <f>G34</f>
        <v>0.27900000000000003</v>
      </c>
      <c r="H39" s="9">
        <f>'[1]Додаток 18 (очищ.госп.ст.) 2025'!J40</f>
        <v>1119.9887999999999</v>
      </c>
      <c r="I39" s="7">
        <f>'[1]Додаток 18 (очищ.госп.ст.) 2025'!K40</f>
        <v>0.24099999999999999</v>
      </c>
    </row>
    <row r="40" spans="1:9" ht="30" x14ac:dyDescent="0.25">
      <c r="A40" s="3" t="s">
        <v>40</v>
      </c>
      <c r="B40" s="38" t="s">
        <v>101</v>
      </c>
      <c r="C40" s="4" t="s">
        <v>83</v>
      </c>
      <c r="D40" s="5">
        <f>D30+D32</f>
        <v>34759.234370000006</v>
      </c>
      <c r="E40" s="16">
        <f>E30+E32</f>
        <v>7.6098442216668589</v>
      </c>
      <c r="F40" s="5">
        <f>H40-D40</f>
        <v>8248.1986299999917</v>
      </c>
      <c r="G40" s="16">
        <f>G30+G32</f>
        <v>8.8230000000000004</v>
      </c>
      <c r="H40" s="13">
        <f>H30+H32</f>
        <v>43007.432999999997</v>
      </c>
      <c r="I40" s="44">
        <f>I30+I32</f>
        <v>7.6360000000000001</v>
      </c>
    </row>
    <row r="41" spans="1:9" x14ac:dyDescent="0.25">
      <c r="A41" s="3" t="s">
        <v>43</v>
      </c>
      <c r="B41" s="38" t="s">
        <v>102</v>
      </c>
      <c r="C41" s="4" t="s">
        <v>84</v>
      </c>
      <c r="D41" s="18">
        <f>D42+F42+F43</f>
        <v>5890.165</v>
      </c>
      <c r="E41" s="19"/>
      <c r="F41" s="19"/>
      <c r="G41" s="19"/>
      <c r="H41" s="46"/>
      <c r="I41" s="20"/>
    </row>
    <row r="42" spans="1:9" x14ac:dyDescent="0.25">
      <c r="A42" s="3" t="s">
        <v>45</v>
      </c>
      <c r="B42" s="38" t="s">
        <v>85</v>
      </c>
      <c r="C42" s="4" t="s">
        <v>86</v>
      </c>
      <c r="D42" s="18">
        <f>'[1]Додаток 18 (очищ.госп.ст.) 2025'!J46</f>
        <v>4565.59</v>
      </c>
      <c r="E42" s="19"/>
      <c r="F42" s="18">
        <f>'[1]Додаток 18 (очищ.госп.ст.) 2025'!J44+'[1]Додаток 18 (очищ.госп.ст.) 2025'!J45</f>
        <v>85.63</v>
      </c>
      <c r="G42" s="19"/>
      <c r="H42" s="47">
        <f>'[1]Додаток 18 (очищ.госп.ст.) 2025'!J42-'[1]Додаток 18 (очищ.госп.ст.) 2025'!J47</f>
        <v>4651.22</v>
      </c>
      <c r="I42" s="20"/>
    </row>
    <row r="43" spans="1:9" ht="15.75" thickBot="1" x14ac:dyDescent="0.3">
      <c r="A43" s="48"/>
      <c r="B43" s="49" t="s">
        <v>87</v>
      </c>
      <c r="C43" s="50"/>
      <c r="D43" s="51">
        <v>0</v>
      </c>
      <c r="E43" s="19"/>
      <c r="F43" s="51">
        <f>'[1]Додаток 18 (очищ.госп.ст.) 2025'!J47</f>
        <v>1238.9449999999997</v>
      </c>
      <c r="G43" s="19"/>
      <c r="H43" s="52">
        <f>'[1]Додаток 18 (очищ.госп.ст.) 2025'!J47</f>
        <v>1238.9449999999997</v>
      </c>
      <c r="I43" s="53"/>
    </row>
    <row r="44" spans="1:9" ht="15.75" thickBot="1" x14ac:dyDescent="0.3">
      <c r="A44" s="21" t="s">
        <v>48</v>
      </c>
      <c r="B44" s="54" t="s">
        <v>88</v>
      </c>
      <c r="C44" s="22" t="s">
        <v>89</v>
      </c>
      <c r="D44" s="51">
        <v>0</v>
      </c>
      <c r="E44" s="24">
        <f>E40</f>
        <v>7.6098442216668589</v>
      </c>
      <c r="F44" s="23"/>
      <c r="G44" s="24">
        <f>G40</f>
        <v>8.8230000000000004</v>
      </c>
      <c r="H44" s="55"/>
      <c r="I44" s="24">
        <f>I40</f>
        <v>7.6360000000000001</v>
      </c>
    </row>
    <row r="47" spans="1:9" ht="19.5" customHeight="1" x14ac:dyDescent="0.25">
      <c r="A47" s="71" t="s">
        <v>103</v>
      </c>
      <c r="B47" s="71"/>
      <c r="C47" s="71"/>
      <c r="D47" s="71"/>
      <c r="E47" s="71"/>
      <c r="F47" s="71"/>
      <c r="G47" s="71"/>
      <c r="H47" s="71"/>
      <c r="I47" s="71"/>
    </row>
    <row r="48" spans="1:9" x14ac:dyDescent="0.25">
      <c r="F48" s="56"/>
      <c r="H48" s="57"/>
    </row>
    <row r="49" spans="2:10" s="58" customFormat="1" ht="38.25" customHeight="1" x14ac:dyDescent="0.25">
      <c r="B49" s="59"/>
      <c r="D49" s="60"/>
      <c r="E49" s="60"/>
      <c r="F49" s="61"/>
      <c r="G49" s="72"/>
      <c r="H49" s="72"/>
      <c r="I49" s="62"/>
    </row>
    <row r="50" spans="2:10" s="58" customFormat="1" ht="20.25" customHeight="1" x14ac:dyDescent="0.25">
      <c r="B50" s="63"/>
      <c r="D50" s="73"/>
      <c r="E50" s="73"/>
      <c r="G50" s="73"/>
      <c r="H50" s="73"/>
      <c r="I50" s="62"/>
    </row>
    <row r="51" spans="2:10" s="58" customFormat="1" ht="14.25" x14ac:dyDescent="0.25">
      <c r="B51" s="64"/>
      <c r="I51" s="62"/>
    </row>
    <row r="52" spans="2:10" s="58" customFormat="1" x14ac:dyDescent="0.25">
      <c r="B52" s="28"/>
      <c r="D52" s="65"/>
      <c r="E52" s="65"/>
      <c r="F52" s="65"/>
      <c r="I52" s="62"/>
    </row>
    <row r="53" spans="2:10" x14ac:dyDescent="0.25">
      <c r="B53" s="66"/>
      <c r="D53" s="67"/>
      <c r="F53" s="67"/>
      <c r="H53" s="67"/>
      <c r="I53" s="68"/>
      <c r="J53" s="69"/>
    </row>
    <row r="54" spans="2:10" x14ac:dyDescent="0.25">
      <c r="E54" s="70"/>
      <c r="G54" s="70"/>
    </row>
  </sheetData>
  <mergeCells count="13">
    <mergeCell ref="A47:I47"/>
    <mergeCell ref="G49:H49"/>
    <mergeCell ref="D50:E50"/>
    <mergeCell ref="G50:H50"/>
    <mergeCell ref="F1:I1"/>
    <mergeCell ref="A2:I2"/>
    <mergeCell ref="A3:I3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стр-ра водовідв. 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Користувач</cp:lastModifiedBy>
  <cp:lastPrinted>2025-12-04T08:39:23Z</cp:lastPrinted>
  <dcterms:created xsi:type="dcterms:W3CDTF">2024-11-19T08:19:15Z</dcterms:created>
  <dcterms:modified xsi:type="dcterms:W3CDTF">2025-12-04T14:46:19Z</dcterms:modified>
</cp:coreProperties>
</file>