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Wykonkom\Rish2024\"/>
    </mc:Choice>
  </mc:AlternateContent>
  <bookViews>
    <workbookView xWindow="0" yWindow="0" windowWidth="19200" windowHeight="11160"/>
  </bookViews>
  <sheets>
    <sheet name="стр-ра в-постач.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5" i="1" l="1"/>
  <c r="F45" i="1"/>
  <c r="H44" i="1"/>
  <c r="F44" i="1"/>
  <c r="D44" i="1"/>
  <c r="D43" i="1"/>
  <c r="H41" i="1"/>
  <c r="I41" i="1" s="1"/>
  <c r="H39" i="1"/>
  <c r="H35" i="1"/>
  <c r="G31" i="1"/>
  <c r="E31" i="1"/>
  <c r="G30" i="1"/>
  <c r="E30" i="1"/>
  <c r="G29" i="1"/>
  <c r="E29" i="1"/>
  <c r="H28" i="1"/>
  <c r="H27" i="1"/>
  <c r="H26" i="1"/>
  <c r="H24" i="1"/>
  <c r="H23" i="1"/>
  <c r="H21" i="1"/>
  <c r="H20" i="1"/>
  <c r="H19" i="1"/>
  <c r="H18" i="1"/>
  <c r="H17" i="1"/>
  <c r="H16" i="1"/>
  <c r="H15" i="1"/>
  <c r="H13" i="1"/>
  <c r="G12" i="1"/>
  <c r="E12" i="1"/>
  <c r="G11" i="1"/>
  <c r="E11" i="1"/>
  <c r="I13" i="1" l="1"/>
  <c r="D39" i="1"/>
  <c r="F39" i="1" s="1"/>
  <c r="H36" i="1"/>
  <c r="I36" i="1" s="1"/>
  <c r="D27" i="1"/>
  <c r="F27" i="1" s="1"/>
  <c r="G27" i="1" s="1"/>
  <c r="H14" i="1"/>
  <c r="H10" i="1" s="1"/>
  <c r="I17" i="1"/>
  <c r="E17" i="1" s="1"/>
  <c r="D17" i="1" s="1"/>
  <c r="F17" i="1" s="1"/>
  <c r="G17" i="1" s="1"/>
  <c r="I21" i="1"/>
  <c r="E21" i="1" s="1"/>
  <c r="D21" i="1" s="1"/>
  <c r="F21" i="1" s="1"/>
  <c r="G21" i="1" s="1"/>
  <c r="I23" i="1"/>
  <c r="E23" i="1" s="1"/>
  <c r="I15" i="1"/>
  <c r="E15" i="1" s="1"/>
  <c r="I19" i="1"/>
  <c r="E19" i="1" s="1"/>
  <c r="D19" i="1" s="1"/>
  <c r="F19" i="1" s="1"/>
  <c r="G19" i="1" s="1"/>
  <c r="D40" i="1"/>
  <c r="F40" i="1" s="1"/>
  <c r="E13" i="1"/>
  <c r="D13" i="1" s="1"/>
  <c r="I16" i="1"/>
  <c r="E16" i="1" s="1"/>
  <c r="D16" i="1" s="1"/>
  <c r="F16" i="1" s="1"/>
  <c r="G16" i="1" s="1"/>
  <c r="I18" i="1"/>
  <c r="E18" i="1" s="1"/>
  <c r="D18" i="1" s="1"/>
  <c r="F18" i="1" s="1"/>
  <c r="G18" i="1" s="1"/>
  <c r="I20" i="1"/>
  <c r="E20" i="1" s="1"/>
  <c r="D20" i="1" s="1"/>
  <c r="F20" i="1" s="1"/>
  <c r="G20" i="1" s="1"/>
  <c r="I24" i="1"/>
  <c r="E24" i="1" s="1"/>
  <c r="D24" i="1" s="1"/>
  <c r="F24" i="1" s="1"/>
  <c r="G24" i="1" s="1"/>
  <c r="I26" i="1"/>
  <c r="I28" i="1"/>
  <c r="E28" i="1" s="1"/>
  <c r="D28" i="1" s="1"/>
  <c r="F28" i="1" s="1"/>
  <c r="I35" i="1"/>
  <c r="H25" i="1"/>
  <c r="H22" i="1" s="1"/>
  <c r="I27" i="1"/>
  <c r="E27" i="1" l="1"/>
  <c r="H34" i="1"/>
  <c r="I34" i="1" s="1"/>
  <c r="H9" i="1"/>
  <c r="H32" i="1" s="1"/>
  <c r="I25" i="1"/>
  <c r="I22" i="1" s="1"/>
  <c r="E26" i="1"/>
  <c r="G28" i="1"/>
  <c r="D15" i="1"/>
  <c r="E14" i="1"/>
  <c r="E10" i="1" s="1"/>
  <c r="F13" i="1"/>
  <c r="D23" i="1"/>
  <c r="I14" i="1"/>
  <c r="I10" i="1" s="1"/>
  <c r="H42" i="1" l="1"/>
  <c r="I9" i="1"/>
  <c r="I32" i="1" s="1"/>
  <c r="I42" i="1" s="1"/>
  <c r="I46" i="1" s="1"/>
  <c r="F23" i="1"/>
  <c r="G13" i="1"/>
  <c r="E25" i="1"/>
  <c r="E22" i="1" s="1"/>
  <c r="E9" i="1" s="1"/>
  <c r="E32" i="1" s="1"/>
  <c r="D26" i="1"/>
  <c r="F15" i="1"/>
  <c r="D14" i="1"/>
  <c r="D10" i="1" s="1"/>
  <c r="E34" i="1" l="1"/>
  <c r="E42" i="1" s="1"/>
  <c r="E46" i="1" s="1"/>
  <c r="F14" i="1"/>
  <c r="F10" i="1" s="1"/>
  <c r="G15" i="1"/>
  <c r="G14" i="1" s="1"/>
  <c r="G10" i="1" s="1"/>
  <c r="D25" i="1"/>
  <c r="D22" i="1" s="1"/>
  <c r="D9" i="1" s="1"/>
  <c r="D32" i="1" s="1"/>
  <c r="F26" i="1"/>
  <c r="G23" i="1"/>
  <c r="G26" i="1" l="1"/>
  <c r="F25" i="1"/>
  <c r="D34" i="1"/>
  <c r="F34" i="1" s="1"/>
  <c r="E35" i="1"/>
  <c r="D35" i="1" s="1"/>
  <c r="F35" i="1" s="1"/>
  <c r="F36" i="1" l="1"/>
  <c r="F41" i="1" s="1"/>
  <c r="G25" i="1"/>
  <c r="G22" i="1" s="1"/>
  <c r="G9" i="1" s="1"/>
  <c r="G32" i="1" s="1"/>
  <c r="F22" i="1"/>
  <c r="F9" i="1" s="1"/>
  <c r="F32" i="1" s="1"/>
  <c r="F42" i="1" s="1"/>
  <c r="E36" i="1"/>
  <c r="D42" i="1"/>
  <c r="G34" i="1" l="1"/>
  <c r="E41" i="1"/>
  <c r="D41" i="1" s="1"/>
  <c r="D36" i="1"/>
  <c r="G35" i="1" l="1"/>
  <c r="G36" i="1" s="1"/>
  <c r="G41" i="1" s="1"/>
  <c r="G42" i="1"/>
  <c r="G46" i="1" s="1"/>
</calcChain>
</file>

<file path=xl/sharedStrings.xml><?xml version="1.0" encoding="utf-8"?>
<sst xmlns="http://schemas.openxmlformats.org/spreadsheetml/2006/main" count="124" uniqueCount="108">
  <si>
    <t>№ з/п</t>
  </si>
  <si>
    <t>Показник</t>
  </si>
  <si>
    <t>Код рядка</t>
  </si>
  <si>
    <t>Розрахунок тарифу для суб'єктів господарювання у сфері централізованого водопостачання та централізованого водовідведення</t>
  </si>
  <si>
    <t>Розрахунок тарифу для інших споживачів</t>
  </si>
  <si>
    <t>Розрахунок середньозваженого тарифу</t>
  </si>
  <si>
    <t>усього тис. грн. (без ПДВ)</t>
  </si>
  <si>
    <t>грн./куб. м</t>
  </si>
  <si>
    <t>А</t>
  </si>
  <si>
    <t>Б</t>
  </si>
  <si>
    <t>В</t>
  </si>
  <si>
    <t>Виробнича собівартість, усього, зокрема:</t>
  </si>
  <si>
    <t>1</t>
  </si>
  <si>
    <t>1.1</t>
  </si>
  <si>
    <t>прямі матеріальні витрати, зокрема:</t>
  </si>
  <si>
    <t>2</t>
  </si>
  <si>
    <t>1.1.1</t>
  </si>
  <si>
    <t>покупна вода</t>
  </si>
  <si>
    <t>3</t>
  </si>
  <si>
    <t>1.1.2</t>
  </si>
  <si>
    <t>покупна вода у природному стані</t>
  </si>
  <si>
    <t>4</t>
  </si>
  <si>
    <t>1.1.3</t>
  </si>
  <si>
    <t>електроенергія</t>
  </si>
  <si>
    <t>5</t>
  </si>
  <si>
    <t>1.1.4</t>
  </si>
  <si>
    <t>інші прямі матеріальні витрати, зокрема:</t>
  </si>
  <si>
    <t>6</t>
  </si>
  <si>
    <t>1.1.4.1</t>
  </si>
  <si>
    <t xml:space="preserve">        сіль Екстра</t>
  </si>
  <si>
    <t>1.1.4.2</t>
  </si>
  <si>
    <t xml:space="preserve">        вапняне молоко</t>
  </si>
  <si>
    <t>1.1.4.3</t>
  </si>
  <si>
    <t xml:space="preserve">        алюміній сірчанокислий</t>
  </si>
  <si>
    <t>1.1.4.4</t>
  </si>
  <si>
    <t xml:space="preserve">        гідроксихлорид алюмінію</t>
  </si>
  <si>
    <t>1.1.4.6</t>
  </si>
  <si>
    <t xml:space="preserve">        транспортні витрати</t>
  </si>
  <si>
    <t>1.1.4.7</t>
  </si>
  <si>
    <t xml:space="preserve">        вода питна (на технологічні витрати)</t>
  </si>
  <si>
    <t>1.2</t>
  </si>
  <si>
    <t>прямі витрати на оплату праці</t>
  </si>
  <si>
    <t>7</t>
  </si>
  <si>
    <t>1.3</t>
  </si>
  <si>
    <t>інші прямі витрати, зокрема:</t>
  </si>
  <si>
    <t>8</t>
  </si>
  <si>
    <t>1.3.1</t>
  </si>
  <si>
    <t>єдиний внесок на загальнообов'язкове державне соціальне страхування працівників</t>
  </si>
  <si>
    <t>9</t>
  </si>
  <si>
    <t>1.3.2</t>
  </si>
  <si>
    <t>амортизація основних виробничих засобів та нематеріальних активів, безпосередньо пов'язаних із наданням послуги</t>
  </si>
  <si>
    <t>10</t>
  </si>
  <si>
    <t>1.3.3</t>
  </si>
  <si>
    <t>11</t>
  </si>
  <si>
    <t>1.3.3.1</t>
  </si>
  <si>
    <t>плата в бюджет за користування водними ресурсами</t>
  </si>
  <si>
    <t>1.4</t>
  </si>
  <si>
    <t>загальновиробничі витрати</t>
  </si>
  <si>
    <t>12</t>
  </si>
  <si>
    <t>Адміністративні витрати</t>
  </si>
  <si>
    <t>13</t>
  </si>
  <si>
    <t>Витрати на збут</t>
  </si>
  <si>
    <t>14</t>
  </si>
  <si>
    <t>Інші операційні витрати</t>
  </si>
  <si>
    <t>15</t>
  </si>
  <si>
    <t>Фінансові витрати</t>
  </si>
  <si>
    <t>16</t>
  </si>
  <si>
    <t>Витрати повної собівартості, усього</t>
  </si>
  <si>
    <t>17</t>
  </si>
  <si>
    <t>Витрати на відшкодування втрат</t>
  </si>
  <si>
    <t>18</t>
  </si>
  <si>
    <t>Плановий прибуток</t>
  </si>
  <si>
    <t>19</t>
  </si>
  <si>
    <t>8.1</t>
  </si>
  <si>
    <t>податок на прибуток</t>
  </si>
  <si>
    <t>20</t>
  </si>
  <si>
    <t>8.2</t>
  </si>
  <si>
    <t>чистий прибуток, зокрема :</t>
  </si>
  <si>
    <t>21</t>
  </si>
  <si>
    <t>8.2.1</t>
  </si>
  <si>
    <t>дивіденди</t>
  </si>
  <si>
    <t>22</t>
  </si>
  <si>
    <t>8.2.2</t>
  </si>
  <si>
    <t>резервний фонд (капітал)</t>
  </si>
  <si>
    <t>23</t>
  </si>
  <si>
    <t>8.2.3.</t>
  </si>
  <si>
    <t>виробничі інвестиції на розвиток виробництва питної води (виробничі інвестиції)</t>
  </si>
  <si>
    <t>24</t>
  </si>
  <si>
    <t>8.2.4</t>
  </si>
  <si>
    <t>інші виробничі інвестиції</t>
  </si>
  <si>
    <t>25</t>
  </si>
  <si>
    <t>8.2.5</t>
  </si>
  <si>
    <t>інше використання прибутку</t>
  </si>
  <si>
    <t>26</t>
  </si>
  <si>
    <t>Вартість водопостачання для споживачів за відповідними тарифами</t>
  </si>
  <si>
    <t>27</t>
  </si>
  <si>
    <t>Обсяг виробництва питної води з урахуванням частини втрат та витрат води, тис.куб.м</t>
  </si>
  <si>
    <t>28</t>
  </si>
  <si>
    <t>Обсяг  реалізації тис. куб. м</t>
  </si>
  <si>
    <t>29</t>
  </si>
  <si>
    <t>ТОВ "КАРПАТНАФТОХІМ"</t>
  </si>
  <si>
    <t>Тариф</t>
  </si>
  <si>
    <t>30</t>
  </si>
  <si>
    <t>СТРУКТУРА</t>
  </si>
  <si>
    <t xml:space="preserve">до рішення виконавчого комітету міської ради </t>
  </si>
  <si>
    <t>Додаток 2</t>
  </si>
  <si>
    <t>тарифів на централізоване водопостачання ТОВ "КАРПАТНАФТОХІМ"на 2025 рік</t>
  </si>
  <si>
    <t>10.12.2024 № 301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</si>
</sst>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₴_-;\-* #,##0.00_₴_-;_-* &quot;-&quot;??_₴_-;_-@_-"/>
    <numFmt numFmtId="164" formatCode="_-* #,##0.00\ _₴_-;\-* #,##0.00\ _₴_-;_-* &quot;-&quot;??\ _₴_-;_-@_-"/>
    <numFmt numFmtId="165" formatCode="_-* #,##0.000_₴_-;\-* #,##0.000_₴_-;_-* &quot;-&quot;??_₴_-;_-@_-"/>
    <numFmt numFmtId="166" formatCode="_-* #,##0.00\ _₽_-;\-* #,##0.00\ _₽_-;_-* &quot;-&quot;???\ _₽_-;_-@_-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1" fontId="2" fillId="0" borderId="15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vertical="center" wrapText="1"/>
    </xf>
    <xf numFmtId="49" fontId="2" fillId="0" borderId="16" xfId="0" applyNumberFormat="1" applyFont="1" applyBorder="1" applyAlignment="1">
      <alignment horizontal="center" vertical="center"/>
    </xf>
    <xf numFmtId="164" fontId="4" fillId="0" borderId="16" xfId="1" applyFont="1" applyBorder="1" applyAlignment="1">
      <alignment horizontal="center" vertical="center"/>
    </xf>
    <xf numFmtId="164" fontId="4" fillId="0" borderId="17" xfId="1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vertical="center" wrapText="1"/>
    </xf>
    <xf numFmtId="49" fontId="2" fillId="0" borderId="19" xfId="0" applyNumberFormat="1" applyFont="1" applyBorder="1" applyAlignment="1">
      <alignment horizontal="center" vertical="center"/>
    </xf>
    <xf numFmtId="164" fontId="4" fillId="0" borderId="19" xfId="1" applyFont="1" applyBorder="1" applyAlignment="1">
      <alignment horizontal="center" vertical="center"/>
    </xf>
    <xf numFmtId="164" fontId="4" fillId="0" borderId="20" xfId="1" applyFont="1" applyBorder="1" applyAlignment="1">
      <alignment horizontal="center" vertical="center"/>
    </xf>
    <xf numFmtId="164" fontId="2" fillId="0" borderId="19" xfId="1" applyFont="1" applyBorder="1" applyAlignment="1">
      <alignment horizontal="center" vertical="center"/>
    </xf>
    <xf numFmtId="164" fontId="2" fillId="0" borderId="20" xfId="1" applyFont="1" applyBorder="1" applyAlignment="1">
      <alignment horizontal="center" vertical="center"/>
    </xf>
    <xf numFmtId="0" fontId="2" fillId="0" borderId="19" xfId="0" applyFont="1" applyFill="1" applyBorder="1" applyAlignment="1">
      <alignment vertical="center" wrapText="1"/>
    </xf>
    <xf numFmtId="164" fontId="2" fillId="0" borderId="19" xfId="1" applyFont="1" applyFill="1" applyBorder="1" applyAlignment="1">
      <alignment horizontal="center" vertical="center"/>
    </xf>
    <xf numFmtId="164" fontId="2" fillId="0" borderId="21" xfId="1" applyFont="1" applyFill="1" applyBorder="1" applyAlignment="1">
      <alignment horizontal="center" vertical="center"/>
    </xf>
    <xf numFmtId="164" fontId="2" fillId="0" borderId="20" xfId="1" applyFont="1" applyFill="1" applyBorder="1" applyAlignment="1">
      <alignment horizontal="center" vertical="center"/>
    </xf>
    <xf numFmtId="49" fontId="2" fillId="0" borderId="18" xfId="0" applyNumberFormat="1" applyFont="1" applyFill="1" applyBorder="1" applyAlignment="1">
      <alignment horizontal="center" vertical="center"/>
    </xf>
    <xf numFmtId="0" fontId="2" fillId="0" borderId="19" xfId="0" applyFont="1" applyFill="1" applyBorder="1"/>
    <xf numFmtId="49" fontId="2" fillId="0" borderId="19" xfId="0" applyNumberFormat="1" applyFont="1" applyFill="1" applyBorder="1" applyAlignment="1">
      <alignment horizontal="center" vertical="center"/>
    </xf>
    <xf numFmtId="0" fontId="2" fillId="0" borderId="0" xfId="0" applyFont="1" applyFill="1"/>
    <xf numFmtId="164" fontId="4" fillId="0" borderId="19" xfId="1" applyFont="1" applyFill="1" applyBorder="1" applyAlignment="1">
      <alignment horizontal="center" vertical="center"/>
    </xf>
    <xf numFmtId="164" fontId="4" fillId="0" borderId="20" xfId="1" applyFont="1" applyFill="1" applyBorder="1" applyAlignment="1">
      <alignment horizontal="center" vertical="center"/>
    </xf>
    <xf numFmtId="43" fontId="4" fillId="0" borderId="19" xfId="1" applyNumberFormat="1" applyFont="1" applyFill="1" applyBorder="1" applyAlignment="1">
      <alignment horizontal="center" vertical="center"/>
    </xf>
    <xf numFmtId="43" fontId="4" fillId="0" borderId="19" xfId="1" applyNumberFormat="1" applyFont="1" applyBorder="1" applyAlignment="1">
      <alignment horizontal="center" vertical="center"/>
    </xf>
    <xf numFmtId="43" fontId="2" fillId="0" borderId="19" xfId="1" applyNumberFormat="1" applyFont="1" applyBorder="1" applyAlignment="1">
      <alignment horizontal="center" vertical="center"/>
    </xf>
    <xf numFmtId="164" fontId="4" fillId="0" borderId="22" xfId="1" applyFont="1" applyBorder="1" applyAlignment="1">
      <alignment horizontal="center" vertical="center"/>
    </xf>
    <xf numFmtId="165" fontId="4" fillId="0" borderId="19" xfId="1" applyNumberFormat="1" applyFont="1" applyBorder="1" applyAlignment="1">
      <alignment horizontal="center" vertical="center"/>
    </xf>
    <xf numFmtId="164" fontId="2" fillId="0" borderId="23" xfId="1" applyFont="1" applyBorder="1" applyAlignment="1">
      <alignment horizontal="center" vertical="center"/>
    </xf>
    <xf numFmtId="164" fontId="2" fillId="0" borderId="24" xfId="1" applyFont="1" applyBorder="1" applyAlignment="1">
      <alignment horizontal="center" vertical="center"/>
    </xf>
    <xf numFmtId="49" fontId="2" fillId="0" borderId="25" xfId="0" applyNumberFormat="1" applyFont="1" applyBorder="1" applyAlignment="1">
      <alignment horizontal="center" vertical="center"/>
    </xf>
    <xf numFmtId="0" fontId="2" fillId="0" borderId="26" xfId="0" applyFont="1" applyFill="1" applyBorder="1" applyAlignment="1">
      <alignment vertical="center" wrapText="1"/>
    </xf>
    <xf numFmtId="49" fontId="2" fillId="0" borderId="26" xfId="0" applyNumberFormat="1" applyFont="1" applyBorder="1" applyAlignment="1">
      <alignment horizontal="center" vertical="center"/>
    </xf>
    <xf numFmtId="165" fontId="4" fillId="0" borderId="26" xfId="1" applyNumberFormat="1" applyFont="1" applyBorder="1" applyAlignment="1">
      <alignment horizontal="center" vertical="center"/>
    </xf>
    <xf numFmtId="164" fontId="2" fillId="0" borderId="27" xfId="1" applyFont="1" applyBorder="1" applyAlignment="1">
      <alignment horizontal="center" vertical="center"/>
    </xf>
    <xf numFmtId="49" fontId="2" fillId="0" borderId="28" xfId="0" applyNumberFormat="1" applyFont="1" applyBorder="1" applyAlignment="1">
      <alignment horizontal="center" vertical="center"/>
    </xf>
    <xf numFmtId="0" fontId="2" fillId="0" borderId="29" xfId="0" applyFont="1" applyFill="1" applyBorder="1" applyAlignment="1">
      <alignment vertical="center" wrapText="1"/>
    </xf>
    <xf numFmtId="49" fontId="2" fillId="0" borderId="29" xfId="0" applyNumberFormat="1" applyFont="1" applyBorder="1" applyAlignment="1">
      <alignment horizontal="center" vertical="center"/>
    </xf>
    <xf numFmtId="164" fontId="2" fillId="0" borderId="30" xfId="1" applyFont="1" applyBorder="1" applyAlignment="1">
      <alignment horizontal="center" vertical="center"/>
    </xf>
    <xf numFmtId="164" fontId="4" fillId="0" borderId="29" xfId="1" applyFont="1" applyBorder="1" applyAlignment="1">
      <alignment horizontal="center" vertical="center"/>
    </xf>
    <xf numFmtId="0" fontId="5" fillId="0" borderId="0" xfId="0" applyFont="1" applyFill="1" applyAlignment="1">
      <alignment vertical="top" wrapText="1"/>
    </xf>
    <xf numFmtId="0" fontId="4" fillId="0" borderId="0" xfId="0" applyFont="1"/>
    <xf numFmtId="0" fontId="6" fillId="0" borderId="0" xfId="0" applyFont="1"/>
    <xf numFmtId="0" fontId="4" fillId="0" borderId="0" xfId="0" applyFont="1" applyAlignment="1">
      <alignment vertical="top" wrapText="1"/>
    </xf>
    <xf numFmtId="0" fontId="3" fillId="0" borderId="0" xfId="0" applyFont="1" applyAlignment="1">
      <alignment horizontal="right"/>
    </xf>
    <xf numFmtId="164" fontId="2" fillId="0" borderId="0" xfId="1" applyFont="1"/>
    <xf numFmtId="166" fontId="7" fillId="0" borderId="0" xfId="0" applyNumberFormat="1" applyFont="1"/>
    <xf numFmtId="43" fontId="3" fillId="0" borderId="0" xfId="0" applyNumberFormat="1" applyFont="1"/>
    <xf numFmtId="165" fontId="2" fillId="0" borderId="0" xfId="1" applyNumberFormat="1" applyFont="1"/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center" vertical="top" wrapText="1"/>
    </xf>
    <xf numFmtId="0" fontId="2" fillId="0" borderId="0" xfId="0" applyFont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44;&#1086;&#1082;&#1091;&#1084;&#1077;&#1085;&#1090;&#1080;%20&#1085;&#1072;%20&#1090;&#1072;&#1088;&#1080;&#1092;&#1080;%20&#1050;&#1053;&#1061;%20&#1085;&#1072;%202025\12%20&#1044;&#1086;&#1076;&#1072;&#1090;&#1082;&#1080;%2016,17,18,19,21,22,29,30_&#1050;&#1072;&#1083;&#1100;&#1082;&#1091;&#1083;&#1103;&#1094;&#1110;&#1111;_2025&#1088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даток 16_(вода питна) 2025"/>
      <sheetName val="Додаток 17 (питна вода) 2025"/>
      <sheetName val="Додаток 29_(вода питна) 2025"/>
      <sheetName val="Додаток 18 (очищ.госп.ст.) 2025"/>
      <sheetName val="Додаток 19 (очищ.госп.ст.) 2025"/>
      <sheetName val="Додаток 30_(очищ.госп.ст.) 2025"/>
      <sheetName val="ФЗП_ВтаК"/>
      <sheetName val="ФЗП_НіОПСВ"/>
      <sheetName val="Додаток 21_ЗВВ"/>
      <sheetName val="Додаток 22_2025"/>
      <sheetName val="План. кальк.2025 вода пит"/>
      <sheetName val="План.кальк.2025 вода пром"/>
      <sheetName val="План. калькул. 2025 Очищення"/>
      <sheetName val="Вода пром.баланс"/>
    </sheetNames>
    <sheetDataSet>
      <sheetData sheetId="0">
        <row r="14">
          <cell r="J14">
            <v>13238.56</v>
          </cell>
        </row>
        <row r="16">
          <cell r="J16">
            <v>267.54700000000003</v>
          </cell>
        </row>
        <row r="17">
          <cell r="J17">
            <v>0</v>
          </cell>
        </row>
        <row r="18">
          <cell r="J18">
            <v>1072.0229999999999</v>
          </cell>
        </row>
        <row r="19">
          <cell r="J19">
            <v>887.89300000000003</v>
          </cell>
        </row>
        <row r="20">
          <cell r="J20">
            <v>44.55</v>
          </cell>
        </row>
        <row r="21">
          <cell r="J21">
            <v>2096.13</v>
          </cell>
        </row>
        <row r="22">
          <cell r="J22">
            <v>2136.4899999999998</v>
          </cell>
        </row>
        <row r="24">
          <cell r="J24">
            <v>470.03</v>
          </cell>
        </row>
        <row r="25">
          <cell r="J25">
            <v>118.12</v>
          </cell>
        </row>
        <row r="27">
          <cell r="J27">
            <v>785.03</v>
          </cell>
        </row>
        <row r="28">
          <cell r="J28">
            <v>4337.66</v>
          </cell>
        </row>
        <row r="29">
          <cell r="J29">
            <v>492.75</v>
          </cell>
        </row>
        <row r="36">
          <cell r="J36">
            <v>12.499063801667514</v>
          </cell>
        </row>
        <row r="40">
          <cell r="J40">
            <v>0</v>
          </cell>
        </row>
        <row r="41">
          <cell r="J41">
            <v>56.94017954092979</v>
          </cell>
        </row>
        <row r="43">
          <cell r="J43">
            <v>1835.3413988000002</v>
          </cell>
        </row>
        <row r="45">
          <cell r="J45">
            <v>0</v>
          </cell>
        </row>
        <row r="46">
          <cell r="J46">
            <v>88.962000000000003</v>
          </cell>
        </row>
        <row r="47">
          <cell r="J47">
            <v>0.68</v>
          </cell>
        </row>
        <row r="48">
          <cell r="J48">
            <v>1745.6993988000002</v>
          </cell>
        </row>
      </sheetData>
      <sheetData sheetId="1"/>
      <sheetData sheetId="2"/>
      <sheetData sheetId="3">
        <row r="11">
          <cell r="K11">
            <v>6.0510000000000002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tabSelected="1" topLeftCell="A43" workbookViewId="0">
      <selection activeCell="D12" sqref="D12"/>
    </sheetView>
  </sheetViews>
  <sheetFormatPr defaultColWidth="9.140625" defaultRowHeight="15" x14ac:dyDescent="0.25"/>
  <cols>
    <col min="1" max="1" width="6.7109375" style="1" bestFit="1" customWidth="1"/>
    <col min="2" max="2" width="47.5703125" style="1" customWidth="1"/>
    <col min="3" max="3" width="7.7109375" style="1" customWidth="1"/>
    <col min="4" max="4" width="12.7109375" style="1" bestFit="1" customWidth="1"/>
    <col min="5" max="5" width="12.42578125" style="1" customWidth="1"/>
    <col min="6" max="6" width="13.42578125" style="1" bestFit="1" customWidth="1"/>
    <col min="7" max="7" width="11.5703125" style="1" bestFit="1" customWidth="1"/>
    <col min="8" max="8" width="13.42578125" style="1" bestFit="1" customWidth="1"/>
    <col min="9" max="9" width="11.5703125" style="2" bestFit="1" customWidth="1"/>
    <col min="10" max="10" width="10.5703125" style="1" bestFit="1" customWidth="1"/>
    <col min="11" max="16384" width="9.140625" style="1"/>
  </cols>
  <sheetData>
    <row r="1" spans="1:9" x14ac:dyDescent="0.25">
      <c r="F1" s="59"/>
      <c r="G1" s="60" t="s">
        <v>105</v>
      </c>
      <c r="H1" s="60"/>
      <c r="I1" s="60"/>
    </row>
    <row r="2" spans="1:9" ht="27" customHeight="1" x14ac:dyDescent="0.25">
      <c r="F2" s="61" t="s">
        <v>104</v>
      </c>
      <c r="G2" s="61"/>
      <c r="H2" s="61"/>
      <c r="I2" s="61"/>
    </row>
    <row r="3" spans="1:9" x14ac:dyDescent="0.25">
      <c r="F3" s="59"/>
      <c r="G3" s="60" t="s">
        <v>107</v>
      </c>
      <c r="H3" s="60"/>
      <c r="I3" s="60"/>
    </row>
    <row r="4" spans="1:9" x14ac:dyDescent="0.25">
      <c r="A4" s="62" t="s">
        <v>103</v>
      </c>
      <c r="B4" s="62"/>
      <c r="C4" s="62"/>
      <c r="D4" s="62"/>
      <c r="E4" s="62"/>
      <c r="F4" s="62"/>
      <c r="G4" s="62"/>
      <c r="H4" s="62"/>
      <c r="I4" s="62"/>
    </row>
    <row r="5" spans="1:9" ht="24" customHeight="1" thickBot="1" x14ac:dyDescent="0.3">
      <c r="A5" s="63" t="s">
        <v>106</v>
      </c>
      <c r="B5" s="63"/>
      <c r="C5" s="63"/>
      <c r="D5" s="63"/>
      <c r="E5" s="63"/>
      <c r="F5" s="63"/>
      <c r="G5" s="63"/>
      <c r="H5" s="63"/>
      <c r="I5" s="63"/>
    </row>
    <row r="6" spans="1:9" ht="102.75" customHeight="1" thickBot="1" x14ac:dyDescent="0.3">
      <c r="A6" s="64" t="s">
        <v>0</v>
      </c>
      <c r="B6" s="66" t="s">
        <v>1</v>
      </c>
      <c r="C6" s="68" t="s">
        <v>2</v>
      </c>
      <c r="D6" s="70" t="s">
        <v>3</v>
      </c>
      <c r="E6" s="71"/>
      <c r="F6" s="72" t="s">
        <v>4</v>
      </c>
      <c r="G6" s="73"/>
      <c r="H6" s="74" t="s">
        <v>5</v>
      </c>
      <c r="I6" s="75"/>
    </row>
    <row r="7" spans="1:9" ht="43.5" customHeight="1" thickBot="1" x14ac:dyDescent="0.3">
      <c r="A7" s="65"/>
      <c r="B7" s="67"/>
      <c r="C7" s="69"/>
      <c r="D7" s="3" t="s">
        <v>6</v>
      </c>
      <c r="E7" s="4" t="s">
        <v>7</v>
      </c>
      <c r="F7" s="3" t="s">
        <v>6</v>
      </c>
      <c r="G7" s="4" t="s">
        <v>7</v>
      </c>
      <c r="H7" s="3" t="s">
        <v>6</v>
      </c>
      <c r="I7" s="5" t="s">
        <v>7</v>
      </c>
    </row>
    <row r="8" spans="1:9" ht="15.75" thickBot="1" x14ac:dyDescent="0.3">
      <c r="A8" s="6" t="s">
        <v>8</v>
      </c>
      <c r="B8" s="7" t="s">
        <v>9</v>
      </c>
      <c r="C8" s="4" t="s">
        <v>10</v>
      </c>
      <c r="D8" s="7">
        <v>1</v>
      </c>
      <c r="E8" s="4">
        <v>2</v>
      </c>
      <c r="F8" s="7">
        <v>3</v>
      </c>
      <c r="G8" s="4">
        <v>4</v>
      </c>
      <c r="H8" s="7">
        <v>5</v>
      </c>
      <c r="I8" s="5">
        <v>6</v>
      </c>
    </row>
    <row r="9" spans="1:9" ht="15.75" customHeight="1" x14ac:dyDescent="0.25">
      <c r="A9" s="8">
        <v>1</v>
      </c>
      <c r="B9" s="9" t="s">
        <v>11</v>
      </c>
      <c r="C9" s="10" t="s">
        <v>12</v>
      </c>
      <c r="D9" s="11">
        <f t="shared" ref="D9:I9" si="0">D10+D22+D27+D21</f>
        <v>9.4332799999999999</v>
      </c>
      <c r="E9" s="11">
        <f>E10+E22+E27+E21</f>
        <v>13.87</v>
      </c>
      <c r="F9" s="11">
        <f t="shared" si="0"/>
        <v>25444.599720000002</v>
      </c>
      <c r="G9" s="11">
        <f t="shared" si="0"/>
        <v>13.85</v>
      </c>
      <c r="H9" s="11">
        <f t="shared" si="0"/>
        <v>25454.033000000003</v>
      </c>
      <c r="I9" s="12">
        <f t="shared" si="0"/>
        <v>13.866999999999999</v>
      </c>
    </row>
    <row r="10" spans="1:9" ht="15.75" customHeight="1" x14ac:dyDescent="0.25">
      <c r="A10" s="13" t="s">
        <v>13</v>
      </c>
      <c r="B10" s="14" t="s">
        <v>14</v>
      </c>
      <c r="C10" s="15" t="s">
        <v>15</v>
      </c>
      <c r="D10" s="16">
        <f>D11+D13+D14</f>
        <v>6.5228800000000007</v>
      </c>
      <c r="E10" s="16">
        <f>E11+E13+E14</f>
        <v>9.593</v>
      </c>
      <c r="F10" s="16">
        <f t="shared" ref="F10:I10" si="1">F11+F13+F14</f>
        <v>17600.180120000001</v>
      </c>
      <c r="G10" s="16">
        <f t="shared" si="1"/>
        <v>9.58</v>
      </c>
      <c r="H10" s="16">
        <f t="shared" si="1"/>
        <v>17606.703000000001</v>
      </c>
      <c r="I10" s="17">
        <f t="shared" si="1"/>
        <v>9.593</v>
      </c>
    </row>
    <row r="11" spans="1:9" ht="15.75" customHeight="1" x14ac:dyDescent="0.25">
      <c r="A11" s="13" t="s">
        <v>16</v>
      </c>
      <c r="B11" s="14" t="s">
        <v>17</v>
      </c>
      <c r="C11" s="15" t="s">
        <v>18</v>
      </c>
      <c r="D11" s="18">
        <v>0</v>
      </c>
      <c r="E11" s="18">
        <f t="shared" ref="E11:E12" si="2">I11</f>
        <v>0</v>
      </c>
      <c r="F11" s="18">
        <v>0</v>
      </c>
      <c r="G11" s="18">
        <f t="shared" ref="G11:G31" si="3">I11</f>
        <v>0</v>
      </c>
      <c r="H11" s="18">
        <v>0</v>
      </c>
      <c r="I11" s="19">
        <v>0</v>
      </c>
    </row>
    <row r="12" spans="1:9" ht="15.75" customHeight="1" x14ac:dyDescent="0.25">
      <c r="A12" s="13" t="s">
        <v>19</v>
      </c>
      <c r="B12" s="14" t="s">
        <v>20</v>
      </c>
      <c r="C12" s="15" t="s">
        <v>21</v>
      </c>
      <c r="D12" s="18">
        <v>0</v>
      </c>
      <c r="E12" s="18">
        <f t="shared" si="2"/>
        <v>0</v>
      </c>
      <c r="F12" s="18">
        <v>0</v>
      </c>
      <c r="G12" s="18">
        <f t="shared" si="3"/>
        <v>0</v>
      </c>
      <c r="H12" s="18">
        <v>0</v>
      </c>
      <c r="I12" s="19">
        <v>0</v>
      </c>
    </row>
    <row r="13" spans="1:9" x14ac:dyDescent="0.25">
      <c r="A13" s="13" t="s">
        <v>22</v>
      </c>
      <c r="B13" s="20" t="s">
        <v>23</v>
      </c>
      <c r="C13" s="15" t="s">
        <v>24</v>
      </c>
      <c r="D13" s="21">
        <f>ROUND(E13*$D$44,2)</f>
        <v>4.9000000000000004</v>
      </c>
      <c r="E13" s="18">
        <f>I13</f>
        <v>7.2130000000000001</v>
      </c>
      <c r="F13" s="21">
        <f>H13-D13</f>
        <v>13233.66</v>
      </c>
      <c r="G13" s="18">
        <f>ROUND(F13/($F$44+$F$45),2)</f>
        <v>7.21</v>
      </c>
      <c r="H13" s="21">
        <f>'[1]Додаток 16_(вода питна) 2025'!J14</f>
        <v>13238.56</v>
      </c>
      <c r="I13" s="19">
        <f>ROUND(H13/($H$44+$H$45),3)</f>
        <v>7.2130000000000001</v>
      </c>
    </row>
    <row r="14" spans="1:9" x14ac:dyDescent="0.25">
      <c r="A14" s="13" t="s">
        <v>25</v>
      </c>
      <c r="B14" s="20" t="s">
        <v>26</v>
      </c>
      <c r="C14" s="15" t="s">
        <v>27</v>
      </c>
      <c r="D14" s="21">
        <f t="shared" ref="D14:I14" si="4">SUM(D15:D20)</f>
        <v>1.6228800000000001</v>
      </c>
      <c r="E14" s="21">
        <f t="shared" si="4"/>
        <v>2.38</v>
      </c>
      <c r="F14" s="22">
        <f t="shared" si="4"/>
        <v>4366.5201200000001</v>
      </c>
      <c r="G14" s="18">
        <f t="shared" si="4"/>
        <v>2.37</v>
      </c>
      <c r="H14" s="18">
        <f t="shared" si="4"/>
        <v>4368.143</v>
      </c>
      <c r="I14" s="23">
        <f t="shared" si="4"/>
        <v>2.38</v>
      </c>
    </row>
    <row r="15" spans="1:9" x14ac:dyDescent="0.25">
      <c r="A15" s="24" t="s">
        <v>28</v>
      </c>
      <c r="B15" s="25" t="s">
        <v>29</v>
      </c>
      <c r="C15" s="15"/>
      <c r="D15" s="21">
        <f>ROUND(E15*$D$44,2)</f>
        <v>0.1</v>
      </c>
      <c r="E15" s="18">
        <f>I15</f>
        <v>0.14599999999999999</v>
      </c>
      <c r="F15" s="21">
        <f>H15-D15</f>
        <v>267.447</v>
      </c>
      <c r="G15" s="18">
        <f>ROUND(F15/($F$44+$F$45),2)</f>
        <v>0.15</v>
      </c>
      <c r="H15" s="21">
        <f>'[1]Додаток 16_(вода питна) 2025'!J16</f>
        <v>267.54700000000003</v>
      </c>
      <c r="I15" s="19">
        <f>ROUND(H15/($H$44+$H$45),3)</f>
        <v>0.14599999999999999</v>
      </c>
    </row>
    <row r="16" spans="1:9" x14ac:dyDescent="0.25">
      <c r="A16" s="24" t="s">
        <v>30</v>
      </c>
      <c r="B16" s="25" t="s">
        <v>31</v>
      </c>
      <c r="C16" s="15"/>
      <c r="D16" s="21">
        <f>ROUND(E16*$D$44,2)</f>
        <v>0</v>
      </c>
      <c r="E16" s="18">
        <f t="shared" ref="E16:E31" si="5">I16</f>
        <v>0</v>
      </c>
      <c r="F16" s="21">
        <f t="shared" ref="F16:F26" si="6">H16-D16</f>
        <v>0</v>
      </c>
      <c r="G16" s="18">
        <f t="shared" ref="G16:G21" si="7">ROUND(F16/($F$44+$F$45),2)</f>
        <v>0</v>
      </c>
      <c r="H16" s="21">
        <f>'[1]Додаток 16_(вода питна) 2025'!J17</f>
        <v>0</v>
      </c>
      <c r="I16" s="19">
        <f t="shared" ref="I16" si="8">ROUND(H16/($H$44+$H$45),2)</f>
        <v>0</v>
      </c>
    </row>
    <row r="17" spans="1:9" x14ac:dyDescent="0.25">
      <c r="A17" s="24" t="s">
        <v>32</v>
      </c>
      <c r="B17" s="25" t="s">
        <v>33</v>
      </c>
      <c r="C17" s="15"/>
      <c r="D17" s="21">
        <f>ROUND(E17*$D$44,2)</f>
        <v>0.4</v>
      </c>
      <c r="E17" s="18">
        <f t="shared" si="5"/>
        <v>0.58399999999999996</v>
      </c>
      <c r="F17" s="21">
        <f t="shared" si="6"/>
        <v>1071.6229999999998</v>
      </c>
      <c r="G17" s="18">
        <f t="shared" si="7"/>
        <v>0.57999999999999996</v>
      </c>
      <c r="H17" s="21">
        <f>'[1]Додаток 16_(вода питна) 2025'!J18</f>
        <v>1072.0229999999999</v>
      </c>
      <c r="I17" s="19">
        <f>ROUND(H17/($H$44+$H$45),3)</f>
        <v>0.58399999999999996</v>
      </c>
    </row>
    <row r="18" spans="1:9" s="27" customFormat="1" x14ac:dyDescent="0.25">
      <c r="A18" s="24" t="s">
        <v>34</v>
      </c>
      <c r="B18" s="25" t="s">
        <v>35</v>
      </c>
      <c r="C18" s="26"/>
      <c r="D18" s="21">
        <f>ROUND(E18*$D$44,2)</f>
        <v>0.33</v>
      </c>
      <c r="E18" s="21">
        <f>I18</f>
        <v>0.48399999999999999</v>
      </c>
      <c r="F18" s="21">
        <f t="shared" si="6"/>
        <v>887.56299999999999</v>
      </c>
      <c r="G18" s="21">
        <f t="shared" si="7"/>
        <v>0.48</v>
      </c>
      <c r="H18" s="21">
        <f>'[1]Додаток 16_(вода питна) 2025'!J19</f>
        <v>887.89300000000003</v>
      </c>
      <c r="I18" s="23">
        <f>ROUND(H18/($H$44+$H$45),3)</f>
        <v>0.48399999999999999</v>
      </c>
    </row>
    <row r="19" spans="1:9" x14ac:dyDescent="0.25">
      <c r="A19" s="24" t="s">
        <v>36</v>
      </c>
      <c r="B19" s="20" t="s">
        <v>37</v>
      </c>
      <c r="C19" s="15"/>
      <c r="D19" s="21">
        <f>E19*$D$44</f>
        <v>1.6320000000000001E-2</v>
      </c>
      <c r="E19" s="18">
        <f>I19</f>
        <v>2.4E-2</v>
      </c>
      <c r="F19" s="21">
        <f t="shared" si="6"/>
        <v>44.533679999999997</v>
      </c>
      <c r="G19" s="18">
        <f t="shared" si="7"/>
        <v>0.02</v>
      </c>
      <c r="H19" s="21">
        <f>'[1]Додаток 16_(вода питна) 2025'!J20</f>
        <v>44.55</v>
      </c>
      <c r="I19" s="19">
        <f>ROUND(H19/($H$44+$H$45),3)</f>
        <v>2.4E-2</v>
      </c>
    </row>
    <row r="20" spans="1:9" x14ac:dyDescent="0.25">
      <c r="A20" s="24" t="s">
        <v>38</v>
      </c>
      <c r="B20" s="20" t="s">
        <v>39</v>
      </c>
      <c r="C20" s="15"/>
      <c r="D20" s="21">
        <f>E20*$D$44</f>
        <v>0.77656000000000003</v>
      </c>
      <c r="E20" s="18">
        <f t="shared" si="5"/>
        <v>1.1419999999999999</v>
      </c>
      <c r="F20" s="21">
        <f t="shared" si="6"/>
        <v>2095.3534400000003</v>
      </c>
      <c r="G20" s="18">
        <f t="shared" si="7"/>
        <v>1.1399999999999999</v>
      </c>
      <c r="H20" s="21">
        <f>'[1]Додаток 16_(вода питна) 2025'!J21</f>
        <v>2096.13</v>
      </c>
      <c r="I20" s="19">
        <f>ROUND(H20/($H$44+$H$45),3)</f>
        <v>1.1419999999999999</v>
      </c>
    </row>
    <row r="21" spans="1:9" x14ac:dyDescent="0.25">
      <c r="A21" s="13" t="s">
        <v>40</v>
      </c>
      <c r="B21" s="20" t="s">
        <v>41</v>
      </c>
      <c r="C21" s="15" t="s">
        <v>42</v>
      </c>
      <c r="D21" s="28">
        <f>ROUND(E21*$D$44,2)</f>
        <v>0.79</v>
      </c>
      <c r="E21" s="28">
        <f t="shared" si="5"/>
        <v>1.1639999999999999</v>
      </c>
      <c r="F21" s="28">
        <f t="shared" si="6"/>
        <v>2135.6999999999998</v>
      </c>
      <c r="G21" s="28">
        <f t="shared" si="7"/>
        <v>1.1599999999999999</v>
      </c>
      <c r="H21" s="28">
        <f>'[1]Додаток 16_(вода питна) 2025'!J22</f>
        <v>2136.4899999999998</v>
      </c>
      <c r="I21" s="17">
        <f>ROUND(H21/($H$44+$H$45),3)</f>
        <v>1.1639999999999999</v>
      </c>
    </row>
    <row r="22" spans="1:9" x14ac:dyDescent="0.25">
      <c r="A22" s="13" t="s">
        <v>43</v>
      </c>
      <c r="B22" s="20" t="s">
        <v>44</v>
      </c>
      <c r="C22" s="15" t="s">
        <v>45</v>
      </c>
      <c r="D22" s="28">
        <f>D23+D24+D25</f>
        <v>0.51339999999999997</v>
      </c>
      <c r="E22" s="28">
        <f>E23+E24+E25</f>
        <v>0.75</v>
      </c>
      <c r="F22" s="28">
        <f>F23+F24+F25</f>
        <v>1372.6666</v>
      </c>
      <c r="G22" s="28">
        <f>G23+G24+G25</f>
        <v>0.75</v>
      </c>
      <c r="H22" s="28">
        <f>H23+H24+H25</f>
        <v>1373.1799999999998</v>
      </c>
      <c r="I22" s="29">
        <f t="shared" ref="I22" si="9">I23+I24+I25</f>
        <v>0.75</v>
      </c>
    </row>
    <row r="23" spans="1:9" ht="30" x14ac:dyDescent="0.25">
      <c r="A23" s="13" t="s">
        <v>46</v>
      </c>
      <c r="B23" s="20" t="s">
        <v>47</v>
      </c>
      <c r="C23" s="15" t="s">
        <v>48</v>
      </c>
      <c r="D23" s="21">
        <f>ROUND(E23*$D$44,2)</f>
        <v>0.18</v>
      </c>
      <c r="E23" s="18">
        <f t="shared" si="5"/>
        <v>0.26</v>
      </c>
      <c r="F23" s="18">
        <f t="shared" si="6"/>
        <v>469.84999999999997</v>
      </c>
      <c r="G23" s="18">
        <f>ROUND(F23/($F$44+$F$45),2)</f>
        <v>0.26</v>
      </c>
      <c r="H23" s="21">
        <f>'[1]Додаток 16_(вода питна) 2025'!J24</f>
        <v>470.03</v>
      </c>
      <c r="I23" s="19">
        <f>ROUND(H23/($H$44+$H$45),2)</f>
        <v>0.26</v>
      </c>
    </row>
    <row r="24" spans="1:9" ht="45" x14ac:dyDescent="0.25">
      <c r="A24" s="13" t="s">
        <v>49</v>
      </c>
      <c r="B24" s="20" t="s">
        <v>50</v>
      </c>
      <c r="C24" s="15" t="s">
        <v>51</v>
      </c>
      <c r="D24" s="21">
        <f>ROUND(E24*$D$44,3)</f>
        <v>4.1000000000000002E-2</v>
      </c>
      <c r="E24" s="18">
        <f>I24</f>
        <v>0.06</v>
      </c>
      <c r="F24" s="18">
        <f t="shared" si="6"/>
        <v>118.07900000000001</v>
      </c>
      <c r="G24" s="18">
        <f>ROUND(F24/($F$44+$F$45),2)</f>
        <v>0.06</v>
      </c>
      <c r="H24" s="21">
        <f>'[1]Додаток 16_(вода питна) 2025'!J25</f>
        <v>118.12</v>
      </c>
      <c r="I24" s="19">
        <f>ROUND(H24/($H$44+$H$45),2)</f>
        <v>0.06</v>
      </c>
    </row>
    <row r="25" spans="1:9" x14ac:dyDescent="0.25">
      <c r="A25" s="13" t="s">
        <v>52</v>
      </c>
      <c r="B25" s="20" t="s">
        <v>44</v>
      </c>
      <c r="C25" s="15" t="s">
        <v>53</v>
      </c>
      <c r="D25" s="18">
        <f t="shared" ref="D25:I25" si="10">D26</f>
        <v>0.29239999999999999</v>
      </c>
      <c r="E25" s="18">
        <f t="shared" si="10"/>
        <v>0.43</v>
      </c>
      <c r="F25" s="18">
        <f t="shared" si="10"/>
        <v>784.73759999999993</v>
      </c>
      <c r="G25" s="18">
        <f>ROUND(F25/($F$44+$F$45),2)</f>
        <v>0.43</v>
      </c>
      <c r="H25" s="18">
        <f t="shared" si="10"/>
        <v>785.03</v>
      </c>
      <c r="I25" s="19">
        <f t="shared" si="10"/>
        <v>0.43</v>
      </c>
    </row>
    <row r="26" spans="1:9" ht="30" x14ac:dyDescent="0.25">
      <c r="A26" s="13" t="s">
        <v>54</v>
      </c>
      <c r="B26" s="20" t="s">
        <v>55</v>
      </c>
      <c r="C26" s="15"/>
      <c r="D26" s="21">
        <f>E26*$D$44</f>
        <v>0.29239999999999999</v>
      </c>
      <c r="E26" s="18">
        <f>I26</f>
        <v>0.43</v>
      </c>
      <c r="F26" s="21">
        <f t="shared" si="6"/>
        <v>784.73759999999993</v>
      </c>
      <c r="G26" s="18">
        <f>ROUND(F26/($F$44+$F$45),2)</f>
        <v>0.43</v>
      </c>
      <c r="H26" s="21">
        <f>'[1]Додаток 16_(вода питна) 2025'!J27</f>
        <v>785.03</v>
      </c>
      <c r="I26" s="19">
        <f>ROUND(H26/($H$44+$H$45),2)</f>
        <v>0.43</v>
      </c>
    </row>
    <row r="27" spans="1:9" x14ac:dyDescent="0.25">
      <c r="A27" s="13" t="s">
        <v>56</v>
      </c>
      <c r="B27" s="20" t="s">
        <v>57</v>
      </c>
      <c r="C27" s="15" t="s">
        <v>58</v>
      </c>
      <c r="D27" s="30">
        <f>ROUND(H27/$D$43*D44,3)</f>
        <v>1.607</v>
      </c>
      <c r="E27" s="30">
        <f>ROUND(D27/$D$44,3)</f>
        <v>2.363</v>
      </c>
      <c r="F27" s="30">
        <f>H27-D27</f>
        <v>4336.0529999999999</v>
      </c>
      <c r="G27" s="28">
        <f>ROUND(F27/($F$44+$F$45),2)</f>
        <v>2.36</v>
      </c>
      <c r="H27" s="16">
        <f>'[1]Додаток 16_(вода питна) 2025'!J28</f>
        <v>4337.66</v>
      </c>
      <c r="I27" s="17">
        <f>ROUND(H27/($H$44+$H$45),2)</f>
        <v>2.36</v>
      </c>
    </row>
    <row r="28" spans="1:9" s="27" customFormat="1" x14ac:dyDescent="0.25">
      <c r="A28" s="24" t="s">
        <v>15</v>
      </c>
      <c r="B28" s="20" t="s">
        <v>59</v>
      </c>
      <c r="C28" s="15" t="s">
        <v>60</v>
      </c>
      <c r="D28" s="30">
        <f>ROUND(E28*$D$44,3)</f>
        <v>2.9000000000000001E-2</v>
      </c>
      <c r="E28" s="30">
        <f>ROUND(I28*$D$44/$H$44,3)</f>
        <v>4.2000000000000003E-2</v>
      </c>
      <c r="F28" s="28">
        <f>H28-D28</f>
        <v>492.721</v>
      </c>
      <c r="G28" s="28">
        <f>ROUND(F28/$F$44,2)</f>
        <v>5.54</v>
      </c>
      <c r="H28" s="16">
        <f>'[1]Додаток 16_(вода питна) 2025'!J29</f>
        <v>492.75</v>
      </c>
      <c r="I28" s="29">
        <f>ROUND(H28/H44,2)</f>
        <v>5.5</v>
      </c>
    </row>
    <row r="29" spans="1:9" x14ac:dyDescent="0.25">
      <c r="A29" s="13" t="s">
        <v>18</v>
      </c>
      <c r="B29" s="20" t="s">
        <v>61</v>
      </c>
      <c r="C29" s="15" t="s">
        <v>62</v>
      </c>
      <c r="D29" s="18">
        <v>0</v>
      </c>
      <c r="E29" s="18">
        <f t="shared" si="5"/>
        <v>0</v>
      </c>
      <c r="F29" s="18">
        <v>0</v>
      </c>
      <c r="G29" s="18">
        <f t="shared" si="3"/>
        <v>0</v>
      </c>
      <c r="H29" s="18">
        <v>0</v>
      </c>
      <c r="I29" s="19">
        <v>0</v>
      </c>
    </row>
    <row r="30" spans="1:9" x14ac:dyDescent="0.25">
      <c r="A30" s="13" t="s">
        <v>21</v>
      </c>
      <c r="B30" s="20" t="s">
        <v>63</v>
      </c>
      <c r="C30" s="15" t="s">
        <v>64</v>
      </c>
      <c r="D30" s="18">
        <v>0</v>
      </c>
      <c r="E30" s="18">
        <f t="shared" si="5"/>
        <v>0</v>
      </c>
      <c r="F30" s="18">
        <v>0</v>
      </c>
      <c r="G30" s="18">
        <f t="shared" si="3"/>
        <v>0</v>
      </c>
      <c r="H30" s="18">
        <v>0</v>
      </c>
      <c r="I30" s="19">
        <v>0</v>
      </c>
    </row>
    <row r="31" spans="1:9" x14ac:dyDescent="0.25">
      <c r="A31" s="13" t="s">
        <v>24</v>
      </c>
      <c r="B31" s="20" t="s">
        <v>65</v>
      </c>
      <c r="C31" s="15" t="s">
        <v>66</v>
      </c>
      <c r="D31" s="18">
        <v>0</v>
      </c>
      <c r="E31" s="18">
        <f t="shared" si="5"/>
        <v>0</v>
      </c>
      <c r="F31" s="18">
        <v>0</v>
      </c>
      <c r="G31" s="18">
        <f t="shared" si="3"/>
        <v>0</v>
      </c>
      <c r="H31" s="18">
        <v>0</v>
      </c>
      <c r="I31" s="19">
        <v>0</v>
      </c>
    </row>
    <row r="32" spans="1:9" x14ac:dyDescent="0.25">
      <c r="A32" s="13" t="s">
        <v>27</v>
      </c>
      <c r="B32" s="20" t="s">
        <v>67</v>
      </c>
      <c r="C32" s="15" t="s">
        <v>68</v>
      </c>
      <c r="D32" s="16">
        <f>D9+D28</f>
        <v>9.4622799999999998</v>
      </c>
      <c r="E32" s="16">
        <f>E9+E28</f>
        <v>13.911999999999999</v>
      </c>
      <c r="F32" s="16">
        <f>F28+F9</f>
        <v>25937.320720000003</v>
      </c>
      <c r="G32" s="16">
        <f>G9+G28</f>
        <v>19.39</v>
      </c>
      <c r="H32" s="16">
        <f>H9+H28</f>
        <v>25946.783000000003</v>
      </c>
      <c r="I32" s="17">
        <f>I9+I28</f>
        <v>19.366999999999997</v>
      </c>
    </row>
    <row r="33" spans="1:9" s="27" customFormat="1" x14ac:dyDescent="0.25">
      <c r="A33" s="24" t="s">
        <v>42</v>
      </c>
      <c r="B33" s="20" t="s">
        <v>69</v>
      </c>
      <c r="C33" s="26" t="s">
        <v>70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  <c r="I33" s="29">
        <v>0</v>
      </c>
    </row>
    <row r="34" spans="1:9" x14ac:dyDescent="0.25">
      <c r="A34" s="13" t="s">
        <v>45</v>
      </c>
      <c r="B34" s="20" t="s">
        <v>71</v>
      </c>
      <c r="C34" s="15" t="s">
        <v>72</v>
      </c>
      <c r="D34" s="31">
        <f>ROUND(E34*$D$44,3)</f>
        <v>0.378</v>
      </c>
      <c r="E34" s="31">
        <f>ROUND(E32*4%,3)</f>
        <v>0.55600000000000005</v>
      </c>
      <c r="F34" s="31">
        <f>H34-D34</f>
        <v>69.061243342597308</v>
      </c>
      <c r="G34" s="30">
        <f>ROUND(G32*4%,2)</f>
        <v>0.78</v>
      </c>
      <c r="H34" s="16">
        <f>H35+H36</f>
        <v>69.439243342597308</v>
      </c>
      <c r="I34" s="29">
        <f>ROUND(H34/$H$44,3)</f>
        <v>0.77500000000000002</v>
      </c>
    </row>
    <row r="35" spans="1:9" x14ac:dyDescent="0.25">
      <c r="A35" s="13" t="s">
        <v>73</v>
      </c>
      <c r="B35" s="20" t="s">
        <v>74</v>
      </c>
      <c r="C35" s="15" t="s">
        <v>75</v>
      </c>
      <c r="D35" s="32">
        <f>ROUND(E35*$D$44,3)</f>
        <v>6.8000000000000005E-2</v>
      </c>
      <c r="E35" s="32">
        <f>ROUND(E34*18%,3)</f>
        <v>0.1</v>
      </c>
      <c r="F35" s="32">
        <f>H35-D35</f>
        <v>12.431063801667515</v>
      </c>
      <c r="G35" s="18">
        <f>ROUND(G34*18%,2)</f>
        <v>0.14000000000000001</v>
      </c>
      <c r="H35" s="18">
        <f>'[1]Додаток 16_(вода питна) 2025'!J36</f>
        <v>12.499063801667514</v>
      </c>
      <c r="I35" s="23">
        <f>ROUND(H35/$H$44,5)</f>
        <v>0.13943</v>
      </c>
    </row>
    <row r="36" spans="1:9" x14ac:dyDescent="0.25">
      <c r="A36" s="13" t="s">
        <v>76</v>
      </c>
      <c r="B36" s="20" t="s">
        <v>77</v>
      </c>
      <c r="C36" s="15" t="s">
        <v>78</v>
      </c>
      <c r="D36" s="32">
        <f>ROUND(E36*$D$44,3)</f>
        <v>0.31</v>
      </c>
      <c r="E36" s="32">
        <f>E34-E35</f>
        <v>0.45600000000000007</v>
      </c>
      <c r="F36" s="32">
        <f>F34-F35</f>
        <v>56.630179540929795</v>
      </c>
      <c r="G36" s="18">
        <f>G34-G35</f>
        <v>0.64</v>
      </c>
      <c r="H36" s="18">
        <f>H37+H38+H40+H41+H39</f>
        <v>56.94017954092979</v>
      </c>
      <c r="I36" s="23">
        <f>ROUND(H36/$H$44,5)</f>
        <v>0.63519999999999999</v>
      </c>
    </row>
    <row r="37" spans="1:9" x14ac:dyDescent="0.25">
      <c r="A37" s="13" t="s">
        <v>79</v>
      </c>
      <c r="B37" s="20" t="s">
        <v>80</v>
      </c>
      <c r="C37" s="15" t="s">
        <v>81</v>
      </c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</row>
    <row r="38" spans="1:9" x14ac:dyDescent="0.25">
      <c r="A38" s="13" t="s">
        <v>82</v>
      </c>
      <c r="B38" s="20" t="s">
        <v>83</v>
      </c>
      <c r="C38" s="15" t="s">
        <v>84</v>
      </c>
      <c r="D38" s="18">
        <v>0</v>
      </c>
      <c r="E38" s="18">
        <v>0</v>
      </c>
      <c r="F38" s="18">
        <v>0</v>
      </c>
      <c r="G38" s="18">
        <v>0</v>
      </c>
      <c r="H38" s="18">
        <v>0</v>
      </c>
      <c r="I38" s="18">
        <v>0</v>
      </c>
    </row>
    <row r="39" spans="1:9" ht="30" x14ac:dyDescent="0.25">
      <c r="A39" s="13" t="s">
        <v>85</v>
      </c>
      <c r="B39" s="20" t="s">
        <v>86</v>
      </c>
      <c r="C39" s="15" t="s">
        <v>87</v>
      </c>
      <c r="D39" s="18">
        <f>H39/$H$44*$D$44</f>
        <v>0</v>
      </c>
      <c r="E39" s="18">
        <v>0</v>
      </c>
      <c r="F39" s="18">
        <f>H39-D39</f>
        <v>0</v>
      </c>
      <c r="G39" s="18">
        <v>0</v>
      </c>
      <c r="H39" s="21">
        <f>'[1]Додаток 16_(вода питна) 2025'!J40</f>
        <v>0</v>
      </c>
      <c r="I39" s="18">
        <v>0</v>
      </c>
    </row>
    <row r="40" spans="1:9" ht="15" customHeight="1" x14ac:dyDescent="0.25">
      <c r="A40" s="13" t="s">
        <v>88</v>
      </c>
      <c r="B40" s="20" t="s">
        <v>89</v>
      </c>
      <c r="C40" s="15" t="s">
        <v>90</v>
      </c>
      <c r="D40" s="18">
        <f t="shared" ref="D40" si="11">H40/$H$44*$D$44</f>
        <v>0</v>
      </c>
      <c r="E40" s="18">
        <v>0</v>
      </c>
      <c r="F40" s="18">
        <f t="shared" ref="F40" si="12">H40-D40</f>
        <v>0</v>
      </c>
      <c r="G40" s="18">
        <v>0</v>
      </c>
      <c r="H40" s="18">
        <v>0</v>
      </c>
      <c r="I40" s="18">
        <v>0</v>
      </c>
    </row>
    <row r="41" spans="1:9" x14ac:dyDescent="0.25">
      <c r="A41" s="13" t="s">
        <v>91</v>
      </c>
      <c r="B41" s="20" t="s">
        <v>92</v>
      </c>
      <c r="C41" s="15" t="s">
        <v>93</v>
      </c>
      <c r="D41" s="32">
        <f>ROUND(E41*$D$44,3)</f>
        <v>0.31</v>
      </c>
      <c r="E41" s="32">
        <f>E36</f>
        <v>0.45600000000000007</v>
      </c>
      <c r="F41" s="32">
        <f>F36</f>
        <v>56.630179540929795</v>
      </c>
      <c r="G41" s="18">
        <f>G36</f>
        <v>0.64</v>
      </c>
      <c r="H41" s="18">
        <f>'[1]Додаток 16_(вода питна) 2025'!J41</f>
        <v>56.94017954092979</v>
      </c>
      <c r="I41" s="18">
        <f>ROUND(H41/H44,2)</f>
        <v>0.64</v>
      </c>
    </row>
    <row r="42" spans="1:9" ht="30" x14ac:dyDescent="0.25">
      <c r="A42" s="13" t="s">
        <v>48</v>
      </c>
      <c r="B42" s="20" t="s">
        <v>94</v>
      </c>
      <c r="C42" s="15" t="s">
        <v>95</v>
      </c>
      <c r="D42" s="16">
        <f>D32+D34</f>
        <v>9.8402799999999999</v>
      </c>
      <c r="E42" s="16">
        <f>E32+E34</f>
        <v>14.468</v>
      </c>
      <c r="F42" s="16">
        <f t="shared" ref="F42:I42" si="13">F32+F34</f>
        <v>26006.381963342599</v>
      </c>
      <c r="G42" s="33">
        <f>G32+G34</f>
        <v>20.170000000000002</v>
      </c>
      <c r="H42" s="16">
        <f t="shared" si="13"/>
        <v>26016.2222433426</v>
      </c>
      <c r="I42" s="17">
        <f t="shared" si="13"/>
        <v>20.141999999999996</v>
      </c>
    </row>
    <row r="43" spans="1:9" ht="30" x14ac:dyDescent="0.25">
      <c r="A43" s="13" t="s">
        <v>51</v>
      </c>
      <c r="B43" s="20" t="s">
        <v>96</v>
      </c>
      <c r="C43" s="15" t="s">
        <v>97</v>
      </c>
      <c r="D43" s="34">
        <f>'[1]Додаток 16_(вода питна) 2025'!J43</f>
        <v>1835.3413988000002</v>
      </c>
      <c r="E43" s="35"/>
      <c r="F43" s="35"/>
      <c r="G43" s="35"/>
      <c r="H43" s="35"/>
      <c r="I43" s="36"/>
    </row>
    <row r="44" spans="1:9" x14ac:dyDescent="0.25">
      <c r="A44" s="13" t="s">
        <v>53</v>
      </c>
      <c r="B44" s="20" t="s">
        <v>98</v>
      </c>
      <c r="C44" s="15" t="s">
        <v>99</v>
      </c>
      <c r="D44" s="34">
        <f>'[1]Додаток 16_(вода питна) 2025'!J47</f>
        <v>0.68</v>
      </c>
      <c r="E44" s="35"/>
      <c r="F44" s="34">
        <f>'[1]Додаток 16_(вода питна) 2025'!J45+'[1]Додаток 16_(вода питна) 2025'!J46</f>
        <v>88.962000000000003</v>
      </c>
      <c r="G44" s="35"/>
      <c r="H44" s="34">
        <f>'[1]Додаток 16_(вода питна) 2025'!J46+'[1]Додаток 16_(вода питна) 2025'!J47+'[1]Додаток 16_(вода питна) 2025'!J45</f>
        <v>89.64200000000001</v>
      </c>
      <c r="I44" s="36"/>
    </row>
    <row r="45" spans="1:9" ht="15.75" thickBot="1" x14ac:dyDescent="0.3">
      <c r="A45" s="37"/>
      <c r="B45" s="38" t="s">
        <v>100</v>
      </c>
      <c r="C45" s="39"/>
      <c r="D45" s="40">
        <v>0</v>
      </c>
      <c r="E45" s="35"/>
      <c r="F45" s="40">
        <f>'[1]Додаток 16_(вода питна) 2025'!J48</f>
        <v>1745.6993988000002</v>
      </c>
      <c r="G45" s="35"/>
      <c r="H45" s="40">
        <f>'[1]Додаток 16_(вода питна) 2025'!J48</f>
        <v>1745.6993988000002</v>
      </c>
      <c r="I45" s="41"/>
    </row>
    <row r="46" spans="1:9" ht="15.75" thickBot="1" x14ac:dyDescent="0.3">
      <c r="A46" s="42" t="s">
        <v>58</v>
      </c>
      <c r="B46" s="43" t="s">
        <v>101</v>
      </c>
      <c r="C46" s="44" t="s">
        <v>102</v>
      </c>
      <c r="D46" s="45"/>
      <c r="E46" s="46">
        <f>E42</f>
        <v>14.468</v>
      </c>
      <c r="F46" s="45"/>
      <c r="G46" s="46">
        <f>G42</f>
        <v>20.170000000000002</v>
      </c>
      <c r="H46" s="45"/>
      <c r="I46" s="46">
        <f>I42</f>
        <v>20.141999999999996</v>
      </c>
    </row>
    <row r="48" spans="1:9" x14ac:dyDescent="0.25">
      <c r="A48" s="78"/>
      <c r="B48" s="78"/>
      <c r="C48" s="78"/>
      <c r="D48" s="78"/>
      <c r="E48" s="78"/>
      <c r="F48" s="78"/>
      <c r="G48" s="78"/>
      <c r="H48" s="78"/>
      <c r="I48" s="78"/>
    </row>
    <row r="49" spans="2:10" s="48" customFormat="1" ht="42" customHeight="1" x14ac:dyDescent="0.3">
      <c r="B49" s="47"/>
      <c r="D49" s="56"/>
      <c r="E49" s="56"/>
      <c r="F49" s="57"/>
      <c r="G49" s="76"/>
      <c r="H49" s="76"/>
      <c r="I49" s="49"/>
    </row>
    <row r="50" spans="2:10" s="48" customFormat="1" ht="20.25" customHeight="1" x14ac:dyDescent="0.2">
      <c r="B50" s="50"/>
      <c r="D50" s="77"/>
      <c r="E50" s="77"/>
      <c r="G50" s="77"/>
      <c r="H50" s="77"/>
      <c r="I50" s="49"/>
    </row>
    <row r="51" spans="2:10" s="48" customFormat="1" ht="14.25" x14ac:dyDescent="0.2">
      <c r="I51" s="49"/>
    </row>
    <row r="55" spans="2:10" x14ac:dyDescent="0.25">
      <c r="B55" s="51"/>
      <c r="C55" s="58"/>
      <c r="D55" s="52"/>
      <c r="E55" s="58"/>
      <c r="F55" s="52"/>
      <c r="G55" s="58"/>
      <c r="H55" s="52"/>
      <c r="I55" s="53"/>
      <c r="J55" s="54"/>
    </row>
    <row r="56" spans="2:10" x14ac:dyDescent="0.25">
      <c r="B56" s="58"/>
      <c r="C56" s="58"/>
      <c r="D56" s="58"/>
      <c r="E56" s="55"/>
      <c r="F56" s="58"/>
      <c r="G56" s="55"/>
      <c r="H56" s="58"/>
    </row>
  </sheetData>
  <mergeCells count="15">
    <mergeCell ref="G49:H49"/>
    <mergeCell ref="D50:E50"/>
    <mergeCell ref="G50:H50"/>
    <mergeCell ref="A48:I48"/>
    <mergeCell ref="G3:I3"/>
    <mergeCell ref="G1:I1"/>
    <mergeCell ref="F2:I2"/>
    <mergeCell ref="A4:I4"/>
    <mergeCell ref="A5:I5"/>
    <mergeCell ref="A6:A7"/>
    <mergeCell ref="B6:B7"/>
    <mergeCell ref="C6:C7"/>
    <mergeCell ref="D6:E6"/>
    <mergeCell ref="F6:G6"/>
    <mergeCell ref="H6:I6"/>
  </mergeCells>
  <printOptions horizontalCentered="1"/>
  <pageMargins left="0.51181102362204722" right="0.51181102362204722" top="1.1811023622047245" bottom="0.35433070866141736" header="0.31496062992125984" footer="0.31496062992125984"/>
  <pageSetup paperSize="9" scale="9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стр-ра в-постач.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ASRock</dc:creator>
  <cp:lastModifiedBy>User</cp:lastModifiedBy>
  <cp:lastPrinted>2024-11-19T10:13:33Z</cp:lastPrinted>
  <dcterms:created xsi:type="dcterms:W3CDTF">2024-11-19T08:19:15Z</dcterms:created>
  <dcterms:modified xsi:type="dcterms:W3CDTF">2024-12-10T11:18:34Z</dcterms:modified>
</cp:coreProperties>
</file>