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95"/>
  </bookViews>
  <sheets>
    <sheet name="2025" sheetId="7" r:id="rId1"/>
    <sheet name="Річний план 2024" sheetId="8" r:id="rId2"/>
  </sheets>
  <externalReferences>
    <externalReference r:id="rId3"/>
    <externalReference r:id="rId4"/>
    <externalReference r:id="rId5"/>
  </externalReferences>
  <definedNames>
    <definedName name="Excel_BuiltIn_Print_Area_2" localSheetId="0">#REF!</definedName>
    <definedName name="Excel_BuiltIn_Print_Area_2" localSheetId="1">#REF!</definedName>
    <definedName name="Excel_BuiltIn_Print_Area_2">#REF!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Excel_BuiltIn_Print_Titles_2" localSheetId="0">#REF!</definedName>
    <definedName name="Excel_BuiltIn_Print_Titles_2" localSheetId="1">#REF!</definedName>
    <definedName name="Excel_BuiltIn_Print_Titles_2">#REF!</definedName>
    <definedName name="Excel_BuiltIn_Print_Titles_4" localSheetId="0">#REF!</definedName>
    <definedName name="Excel_BuiltIn_Print_Titles_4" localSheetId="1">#REF!</definedName>
    <definedName name="Excel_BuiltIn_Print_Titles_4">#REF!</definedName>
    <definedName name="_xlnm.Print_Area" localSheetId="0">'2025'!$A$1:$M$40</definedName>
    <definedName name="_xlnm.Print_Area" localSheetId="1">'Річний план 2024'!$A$1:$M$40</definedName>
  </definedNames>
  <calcPr calcId="152511" refMode="R1C1"/>
</workbook>
</file>

<file path=xl/calcChain.xml><?xml version="1.0" encoding="utf-8"?>
<calcChain xmlns="http://schemas.openxmlformats.org/spreadsheetml/2006/main">
  <c r="K41" i="7" l="1"/>
  <c r="M14" i="7"/>
  <c r="M13" i="7"/>
  <c r="M36" i="7"/>
  <c r="M33" i="7"/>
  <c r="M32" i="7"/>
  <c r="M31" i="7"/>
  <c r="M41" i="7"/>
  <c r="M25" i="7"/>
  <c r="M24" i="7"/>
  <c r="M23" i="7"/>
  <c r="M18" i="7"/>
  <c r="M21" i="7"/>
  <c r="J33" i="7"/>
  <c r="J32" i="7"/>
  <c r="L36" i="8"/>
  <c r="L33" i="8"/>
  <c r="E36" i="8"/>
  <c r="E33" i="8"/>
  <c r="D36" i="8"/>
  <c r="M33" i="8"/>
  <c r="K33" i="8"/>
  <c r="J33" i="8"/>
  <c r="I33" i="8"/>
  <c r="H33" i="8"/>
  <c r="G33" i="8"/>
  <c r="F33" i="8"/>
  <c r="D33" i="8"/>
  <c r="K32" i="8"/>
  <c r="J32" i="8"/>
  <c r="H32" i="8"/>
  <c r="G32" i="8"/>
  <c r="F32" i="8"/>
  <c r="E32" i="8"/>
  <c r="D32" i="8"/>
  <c r="M31" i="8"/>
  <c r="L31" i="8"/>
  <c r="M30" i="8"/>
  <c r="L30" i="8"/>
  <c r="J30" i="8"/>
  <c r="I30" i="8"/>
  <c r="I27" i="8"/>
  <c r="F30" i="8"/>
  <c r="E30" i="8"/>
  <c r="I29" i="8"/>
  <c r="M27" i="8"/>
  <c r="L27" i="8"/>
  <c r="K27" i="8"/>
  <c r="J27" i="8"/>
  <c r="H27" i="8"/>
  <c r="G27" i="8"/>
  <c r="F27" i="8"/>
  <c r="E27" i="8"/>
  <c r="M26" i="8"/>
  <c r="L26" i="8"/>
  <c r="J26" i="8"/>
  <c r="I26" i="8"/>
  <c r="M25" i="8"/>
  <c r="M23" i="8"/>
  <c r="G25" i="8"/>
  <c r="F25" i="8"/>
  <c r="F23" i="8"/>
  <c r="E25" i="8"/>
  <c r="M24" i="8"/>
  <c r="L24" i="8"/>
  <c r="H24" i="8"/>
  <c r="G24" i="8"/>
  <c r="G23" i="8"/>
  <c r="F24" i="8"/>
  <c r="E24" i="8"/>
  <c r="E23" i="8"/>
  <c r="D24" i="8"/>
  <c r="L23" i="8"/>
  <c r="L25" i="8"/>
  <c r="I21" i="8"/>
  <c r="F21" i="8"/>
  <c r="M19" i="8"/>
  <c r="L19" i="8"/>
  <c r="K19" i="8"/>
  <c r="K21" i="8"/>
  <c r="J19" i="8"/>
  <c r="I19" i="8"/>
  <c r="M18" i="8"/>
  <c r="M21" i="8"/>
  <c r="L18" i="8"/>
  <c r="L21" i="8"/>
  <c r="K18" i="8"/>
  <c r="J18" i="8"/>
  <c r="J24" i="8"/>
  <c r="J23" i="8"/>
  <c r="I18" i="8"/>
  <c r="I24" i="8"/>
  <c r="I23" i="8"/>
  <c r="H14" i="8"/>
  <c r="H21" i="8"/>
  <c r="G14" i="8"/>
  <c r="G21" i="8"/>
  <c r="F14" i="8"/>
  <c r="E14" i="8"/>
  <c r="E21" i="8"/>
  <c r="D14" i="8"/>
  <c r="M13" i="8"/>
  <c r="K13" i="8"/>
  <c r="J13" i="8"/>
  <c r="I13" i="8"/>
  <c r="I13" i="7"/>
  <c r="J13" i="7"/>
  <c r="K13" i="7"/>
  <c r="D14" i="7"/>
  <c r="E14" i="7"/>
  <c r="E21" i="7"/>
  <c r="F14" i="7"/>
  <c r="F21" i="7"/>
  <c r="G14" i="7"/>
  <c r="G21" i="7"/>
  <c r="H14" i="7"/>
  <c r="H21" i="7"/>
  <c r="I18" i="7"/>
  <c r="I24" i="7"/>
  <c r="I23" i="7"/>
  <c r="J18" i="7"/>
  <c r="J24" i="7"/>
  <c r="J23" i="7"/>
  <c r="K18" i="7"/>
  <c r="K21" i="7"/>
  <c r="L18" i="7"/>
  <c r="L21" i="7"/>
  <c r="L14" i="7"/>
  <c r="I19" i="7"/>
  <c r="I26" i="7"/>
  <c r="J19" i="7"/>
  <c r="J21" i="7"/>
  <c r="K19" i="7"/>
  <c r="L19" i="7"/>
  <c r="M19" i="7"/>
  <c r="L23" i="7"/>
  <c r="L25" i="7"/>
  <c r="D24" i="7"/>
  <c r="E24" i="7"/>
  <c r="F24" i="7"/>
  <c r="F23" i="7"/>
  <c r="G24" i="7"/>
  <c r="G23" i="7"/>
  <c r="H24" i="7"/>
  <c r="L24" i="7"/>
  <c r="E25" i="7"/>
  <c r="E23" i="7"/>
  <c r="F25" i="7"/>
  <c r="G25" i="7"/>
  <c r="L26" i="7"/>
  <c r="G27" i="7"/>
  <c r="H27" i="7"/>
  <c r="K27" i="7"/>
  <c r="I29" i="7"/>
  <c r="I27" i="7" s="1"/>
  <c r="E30" i="7"/>
  <c r="E27" i="7"/>
  <c r="F30" i="7"/>
  <c r="F27" i="7"/>
  <c r="I30" i="7"/>
  <c r="J27" i="7"/>
  <c r="L30" i="7"/>
  <c r="L27" i="7"/>
  <c r="M27" i="7"/>
  <c r="L31" i="7"/>
  <c r="D32" i="7"/>
  <c r="E32" i="7"/>
  <c r="F32" i="7"/>
  <c r="G32" i="7"/>
  <c r="H32" i="7"/>
  <c r="K32" i="7"/>
  <c r="F33" i="7"/>
  <c r="G33" i="7"/>
  <c r="H33" i="7"/>
  <c r="I33" i="7"/>
  <c r="K33" i="7"/>
  <c r="D36" i="7"/>
  <c r="D33" i="7"/>
  <c r="E36" i="7"/>
  <c r="E33" i="7"/>
  <c r="L36" i="7"/>
  <c r="L33" i="7"/>
  <c r="K24" i="8"/>
  <c r="K23" i="8"/>
  <c r="J26" i="7"/>
  <c r="I21" i="7"/>
  <c r="M26" i="7"/>
  <c r="K24" i="7"/>
  <c r="K23" i="7"/>
  <c r="J21" i="8"/>
  <c r="L14" i="8"/>
</calcChain>
</file>

<file path=xl/sharedStrings.xml><?xml version="1.0" encoding="utf-8"?>
<sst xmlns="http://schemas.openxmlformats.org/spreadsheetml/2006/main" count="131" uniqueCount="68">
  <si>
    <t>№ з/п</t>
  </si>
  <si>
    <t>Код рядка</t>
  </si>
  <si>
    <t>А</t>
  </si>
  <si>
    <t>Б</t>
  </si>
  <si>
    <t>В</t>
  </si>
  <si>
    <t>покупна вода</t>
  </si>
  <si>
    <t>1.2</t>
  </si>
  <si>
    <t>1.3</t>
  </si>
  <si>
    <t>1.1</t>
  </si>
  <si>
    <t>Показники</t>
  </si>
  <si>
    <t>фактично</t>
  </si>
  <si>
    <t>підземний водозабір</t>
  </si>
  <si>
    <t>покупна вода в природному стані</t>
  </si>
  <si>
    <t>Витрати води технологічні до ІІ підйому</t>
  </si>
  <si>
    <t>Втрати води технологічні до ІІ підйому</t>
  </si>
  <si>
    <t>Обсяг реалізації води до ІІ підйому</t>
  </si>
  <si>
    <t>Подано води в мережу (ІІ підйом), усього</t>
  </si>
  <si>
    <t>водопровідного господарства</t>
  </si>
  <si>
    <t>каналізаційного господарства</t>
  </si>
  <si>
    <t>Втрати та необліковані витрати питної води після ІІ підйому</t>
  </si>
  <si>
    <t>Обсяг пропуску стічних вод через очисні споруди, усього</t>
  </si>
  <si>
    <t>5.1</t>
  </si>
  <si>
    <t>6.1</t>
  </si>
  <si>
    <t>6.2</t>
  </si>
  <si>
    <t>9.1</t>
  </si>
  <si>
    <t>населенню</t>
  </si>
  <si>
    <t>10.1</t>
  </si>
  <si>
    <t>поверхневий водозабір</t>
  </si>
  <si>
    <t>іншим ВКГ</t>
  </si>
  <si>
    <t>іншим споживачам</t>
  </si>
  <si>
    <t>8.1</t>
  </si>
  <si>
    <t>8.2</t>
  </si>
  <si>
    <t>8.3</t>
  </si>
  <si>
    <t>10.2</t>
  </si>
  <si>
    <t>10.3</t>
  </si>
  <si>
    <t>передбачено чинним тарифом</t>
  </si>
  <si>
    <t>Значення, тис. куб. м.</t>
  </si>
  <si>
    <t>РІЧНИЙ    ПЛАН</t>
  </si>
  <si>
    <t>Обсяг І підйому води, усього, зокрема:</t>
  </si>
  <si>
    <t>зокрема: покупна питна вода</t>
  </si>
  <si>
    <t>Обсяг реалізації послуг централізованого водопостачання, зокрема:</t>
  </si>
  <si>
    <t>зокрема: біологічна очистка стоків</t>
  </si>
  <si>
    <t>Обсяг реалізації послуг з централізованого водовідведення, усього, зокрема:</t>
  </si>
  <si>
    <t>2017 рік</t>
  </si>
  <si>
    <t>2018 рік</t>
  </si>
  <si>
    <r>
      <t xml:space="preserve"> </t>
    </r>
    <r>
      <rPr>
        <b/>
        <sz val="10"/>
        <rFont val="Times New Roman"/>
        <family val="1"/>
        <charset val="204"/>
      </rPr>
      <t>2016 рік</t>
    </r>
  </si>
  <si>
    <t>2021 рік</t>
  </si>
  <si>
    <t xml:space="preserve"> 2019 рік</t>
  </si>
  <si>
    <t>Оленюк В.Я.</t>
  </si>
  <si>
    <t>"ПОГОДЖЕНО"</t>
  </si>
  <si>
    <t>2022 рік</t>
  </si>
  <si>
    <t>«____» ________________ 2024 р.</t>
  </si>
  <si>
    <r>
      <t xml:space="preserve"> 2020 рік</t>
    </r>
    <r>
      <rPr>
        <sz val="12"/>
        <rFont val="Times New Roman"/>
        <family val="1"/>
        <charset val="204"/>
      </rPr>
      <t xml:space="preserve"> </t>
    </r>
  </si>
  <si>
    <t>1.4</t>
  </si>
  <si>
    <r>
      <t xml:space="preserve">плановий період
</t>
    </r>
    <r>
      <rPr>
        <b/>
        <sz val="12"/>
        <rFont val="Times New Roman"/>
        <family val="1"/>
        <charset val="204"/>
      </rPr>
      <t>2024 рік</t>
    </r>
  </si>
  <si>
    <r>
      <t xml:space="preserve">базовий  період
</t>
    </r>
    <r>
      <rPr>
        <b/>
        <sz val="12"/>
        <rFont val="Times New Roman"/>
        <family val="1"/>
        <charset val="204"/>
      </rPr>
      <t>2023 рік</t>
    </r>
  </si>
  <si>
    <t>Витрати питної води після ІІ підйому, усього, зокрема на потреби: </t>
  </si>
  <si>
    <t>Рішення виконавчого комітету</t>
  </si>
  <si>
    <t>Калуської міської ради</t>
  </si>
  <si>
    <t>________________ №_________</t>
  </si>
  <si>
    <t>Перший заступник генерального директора - головний інженер</t>
  </si>
  <si>
    <t>надання послуг з централізованого водопостачання та централізованого водовідведення ТОВ "КАРПАТНАФТОХІМ"
на 2024 рік</t>
  </si>
  <si>
    <t>надання послуг з централізованого водопостачання та централізованого водовідведення ТОВ "КАРПАТНАФТОХІМ"
на 2025 рік</t>
  </si>
  <si>
    <r>
      <t xml:space="preserve">плановий період
</t>
    </r>
    <r>
      <rPr>
        <b/>
        <sz val="12"/>
        <rFont val="Times New Roman"/>
        <family val="1"/>
        <charset val="204"/>
      </rPr>
      <t>2025 рік</t>
    </r>
  </si>
  <si>
    <t>Рудик Я.Б.</t>
  </si>
  <si>
    <t>згідно заявки</t>
  </si>
  <si>
    <t>Заступник генерального директора з економіки та фінансів</t>
  </si>
  <si>
    <t>11.10.2024 №255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</si>
</sst>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₴_-;\-* #,##0.000_₴_-;_-* &quot;-&quot;??_₴_-;_-@_-"/>
    <numFmt numFmtId="167" formatCode="0.000"/>
    <numFmt numFmtId="168" formatCode="_-* #,##0.00\ _г_р_н_._-;\-* #,##0.00\ _г_р_н_._-;_-* &quot;-&quot;??\ _г_р_н_._-;_-@_-"/>
  </numFmts>
  <fonts count="29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indexed="8"/>
      <name val="Calibri"/>
      <family val="2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</font>
    <font>
      <sz val="14"/>
      <name val="Times New Roman CYR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23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22" fillId="2" borderId="8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164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left" indent="15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11" fillId="0" borderId="0" xfId="0" applyFont="1" applyAlignment="1">
      <alignment horizontal="justify"/>
    </xf>
    <xf numFmtId="165" fontId="9" fillId="0" borderId="1" xfId="15" applyNumberFormat="1" applyFont="1" applyBorder="1" applyAlignment="1">
      <alignment horizontal="right" vertical="center" wrapText="1"/>
    </xf>
    <xf numFmtId="165" fontId="12" fillId="0" borderId="1" xfId="15" applyNumberFormat="1" applyFont="1" applyBorder="1" applyAlignment="1">
      <alignment horizontal="right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12" fillId="3" borderId="1" xfId="15" applyNumberFormat="1" applyFont="1" applyFill="1" applyBorder="1" applyAlignment="1">
      <alignment horizontal="right" vertical="center" wrapText="1"/>
    </xf>
    <xf numFmtId="165" fontId="9" fillId="3" borderId="1" xfId="15" applyNumberFormat="1" applyFont="1" applyFill="1" applyBorder="1" applyAlignment="1">
      <alignment horizontal="right" vertical="center" wrapText="1"/>
    </xf>
    <xf numFmtId="0" fontId="24" fillId="3" borderId="0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/>
    </xf>
    <xf numFmtId="0" fontId="25" fillId="0" borderId="0" xfId="0" applyFont="1" applyBorder="1" applyAlignment="1">
      <alignment vertical="center" wrapText="1"/>
    </xf>
    <xf numFmtId="0" fontId="24" fillId="0" borderId="0" xfId="0" applyFont="1" applyBorder="1"/>
    <xf numFmtId="165" fontId="9" fillId="0" borderId="1" xfId="0" applyNumberFormat="1" applyFont="1" applyFill="1" applyBorder="1" applyAlignment="1">
      <alignment horizontal="right" vertical="center" wrapText="1"/>
    </xf>
    <xf numFmtId="166" fontId="9" fillId="0" borderId="1" xfId="15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9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165" fontId="0" fillId="0" borderId="0" xfId="0" applyNumberFormat="1" applyBorder="1"/>
    <xf numFmtId="0" fontId="15" fillId="3" borderId="1" xfId="0" applyFont="1" applyFill="1" applyBorder="1" applyAlignment="1">
      <alignment horizontal="center" vertical="center" wrapText="1"/>
    </xf>
    <xf numFmtId="165" fontId="12" fillId="3" borderId="0" xfId="15" applyNumberFormat="1" applyFont="1" applyFill="1" applyBorder="1" applyAlignment="1">
      <alignment horizontal="right" vertical="center" wrapText="1"/>
    </xf>
    <xf numFmtId="165" fontId="16" fillId="3" borderId="0" xfId="15" applyNumberFormat="1" applyFont="1" applyFill="1" applyBorder="1" applyAlignment="1">
      <alignment horizontal="right" vertical="center" wrapText="1"/>
    </xf>
    <xf numFmtId="165" fontId="26" fillId="3" borderId="0" xfId="15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165" fontId="9" fillId="3" borderId="0" xfId="15" applyNumberFormat="1" applyFont="1" applyFill="1" applyBorder="1" applyAlignment="1">
      <alignment horizontal="right" vertical="center" wrapText="1"/>
    </xf>
    <xf numFmtId="165" fontId="17" fillId="3" borderId="0" xfId="0" applyNumberFormat="1" applyFont="1" applyFill="1" applyBorder="1" applyAlignment="1">
      <alignment horizontal="right" vertical="center" wrapText="1"/>
    </xf>
    <xf numFmtId="165" fontId="25" fillId="3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17" fillId="3" borderId="0" xfId="0" applyNumberFormat="1" applyFont="1" applyFill="1" applyBorder="1" applyAlignment="1">
      <alignment horizontal="right" vertical="center" wrapText="1"/>
    </xf>
    <xf numFmtId="3" fontId="25" fillId="3" borderId="0" xfId="0" applyNumberFormat="1" applyFont="1" applyFill="1" applyBorder="1" applyAlignment="1">
      <alignment horizontal="right" vertical="center" wrapText="1"/>
    </xf>
    <xf numFmtId="0" fontId="14" fillId="3" borderId="0" xfId="0" applyFont="1" applyFill="1" applyBorder="1"/>
    <xf numFmtId="165" fontId="27" fillId="3" borderId="1" xfId="15" applyNumberFormat="1" applyFont="1" applyFill="1" applyBorder="1" applyAlignment="1">
      <alignment horizontal="right" vertical="center" wrapText="1"/>
    </xf>
    <xf numFmtId="165" fontId="27" fillId="3" borderId="1" xfId="0" applyNumberFormat="1" applyFont="1" applyFill="1" applyBorder="1" applyAlignment="1">
      <alignment horizontal="right" vertical="center" wrapText="1"/>
    </xf>
    <xf numFmtId="3" fontId="27" fillId="3" borderId="1" xfId="0" applyNumberFormat="1" applyFont="1" applyFill="1" applyBorder="1" applyAlignment="1">
      <alignment horizontal="right" vertical="center" wrapText="1"/>
    </xf>
    <xf numFmtId="166" fontId="27" fillId="0" borderId="1" xfId="15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8" fillId="0" borderId="0" xfId="4"/>
    <xf numFmtId="0" fontId="19" fillId="0" borderId="0" xfId="4" applyFont="1" applyFill="1" applyBorder="1" applyAlignment="1">
      <alignment horizontal="left"/>
    </xf>
    <xf numFmtId="0" fontId="20" fillId="0" borderId="0" xfId="4" applyFont="1" applyFill="1" applyAlignment="1">
      <alignment horizontal="left"/>
    </xf>
    <xf numFmtId="0" fontId="9" fillId="0" borderId="0" xfId="4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6" fontId="9" fillId="3" borderId="1" xfId="15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5" fontId="9" fillId="0" borderId="0" xfId="15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9" fillId="0" borderId="1" xfId="15" applyNumberFormat="1" applyFont="1" applyFill="1" applyBorder="1" applyAlignment="1">
      <alignment horizontal="right" vertical="center" wrapText="1"/>
    </xf>
    <xf numFmtId="165" fontId="12" fillId="0" borderId="1" xfId="15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167" fontId="0" fillId="0" borderId="0" xfId="0" applyNumberFormat="1" applyBorder="1"/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</cellXfs>
  <cellStyles count="18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9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Примечание 2" xfId="12"/>
    <cellStyle name="Процентный 2" xfId="13"/>
    <cellStyle name="Процентный 3" xfId="14"/>
    <cellStyle name="Финансовый" xfId="15" builtinId="3"/>
    <cellStyle name="Финансовый 2" xfId="16"/>
    <cellStyle name="Финансовый 3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2;&#1075;&#1088;&#1091;&#1079;&#1082;&#1080;/&#1041;&#1072;&#1083;&#1072;&#1085;&#1089;%202025%20&#1050;&#1053;&#1061;_&#1074;&#1086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%20&#1045;%20&#1047;%20&#1045;%20&#1056;%20&#1042;%20%20%20%20%20&#1060;%20&#1040;%20&#1049;%20&#1051;%20&#1030;%20&#1042;\&#1043;&#1045;&#1047;\&#1041;&#1072;&#1075;&#1080;&#1088;&#1072;\&#1051;&#1110;&#1094;&#1077;&#1085;&#1079;&#1110;&#1103;%20&#1074;&#1086;&#1076;&#1072;\2021\&#1047;&#1074;&#1110;&#1090;&#1085;&#1110;&#1089;&#1090;&#1100;\&#1092;&#1086;&#1088;&#1084;&#1072;%204%20&#1053;&#1050;&#1055;%20&#1079;&#1074;&#1077;&#1076;&#1077;&#1085;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2;&#1075;&#1088;&#1091;&#1079;&#1082;&#1080;/&#1041;&#1072;&#1083;&#1072;&#1085;&#1089;%202025%20&#1050;&#1053;&#1061;%20&#1089;&#1090;&#108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2024"/>
      <sheetName val="Лист1"/>
    </sheetNames>
    <sheetDataSet>
      <sheetData sheetId="0">
        <row r="10">
          <cell r="I10">
            <v>2280.5920000000001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зразок"/>
      <sheetName val="4-НКП (4)"/>
      <sheetName val="Рекомендації"/>
      <sheetName val="4-НКП (5)"/>
      <sheetName val="4-НКП (6)"/>
      <sheetName val="4-НКП (7)"/>
      <sheetName val="4-НКП (8)"/>
      <sheetName val="4-НКП (9)"/>
      <sheetName val="4-НКП (10)"/>
      <sheetName val="4-НКП 1 кв"/>
      <sheetName val="4-НКП 2 кв "/>
      <sheetName val="4-НКП 3 кв "/>
      <sheetName val="4-НКП 4 кв  "/>
      <sheetName val="4-НКП Зведен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7">
          <cell r="X47">
            <v>0.79899999999999971</v>
          </cell>
        </row>
        <row r="48">
          <cell r="X48">
            <v>92.06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Лист1"/>
    </sheetNames>
    <sheetDataSet>
      <sheetData sheetId="0">
        <row r="20">
          <cell r="I20">
            <v>85.63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70"/>
  <sheetViews>
    <sheetView tabSelected="1" view="pageBreakPreview" zoomScale="89" zoomScaleNormal="89" zoomScaleSheetLayoutView="89" workbookViewId="0">
      <selection activeCell="A38" sqref="A38:B38"/>
    </sheetView>
  </sheetViews>
  <sheetFormatPr defaultRowHeight="15" x14ac:dyDescent="0.25"/>
  <cols>
    <col min="1" max="1" width="5.42578125" style="3" customWidth="1"/>
    <col min="2" max="2" width="74.85546875" style="2" customWidth="1"/>
    <col min="3" max="3" width="6.85546875" style="2" customWidth="1"/>
    <col min="4" max="5" width="10.28515625" style="2" hidden="1" customWidth="1"/>
    <col min="6" max="6" width="10.28515625" style="25" hidden="1" customWidth="1"/>
    <col min="7" max="7" width="11.85546875" style="22" customWidth="1"/>
    <col min="8" max="10" width="11.85546875" style="20" customWidth="1"/>
    <col min="11" max="11" width="11.85546875" style="16" customWidth="1"/>
    <col min="12" max="12" width="11.85546875" style="27" customWidth="1"/>
    <col min="13" max="13" width="11.85546875" style="16" customWidth="1"/>
    <col min="14" max="14" width="8.28515625" style="2" customWidth="1"/>
    <col min="15" max="15" width="21" style="2" customWidth="1"/>
    <col min="16" max="16" width="33.7109375" style="2" customWidth="1"/>
    <col min="17" max="16384" width="9.140625" style="2"/>
  </cols>
  <sheetData>
    <row r="1" spans="1:17" s="6" customFormat="1" ht="18.75" x14ac:dyDescent="0.3">
      <c r="A1" s="5"/>
      <c r="B1" s="50"/>
      <c r="C1" s="52"/>
      <c r="D1" s="49"/>
      <c r="G1" s="47"/>
      <c r="H1" s="48"/>
      <c r="I1" s="48"/>
      <c r="J1" s="57" t="s">
        <v>49</v>
      </c>
      <c r="L1" s="48"/>
      <c r="M1" s="48"/>
      <c r="N1" s="28"/>
    </row>
    <row r="2" spans="1:17" s="6" customFormat="1" ht="18.75" x14ac:dyDescent="0.3">
      <c r="A2" s="5"/>
      <c r="B2" s="50"/>
      <c r="C2" s="52"/>
      <c r="D2" s="49"/>
      <c r="G2" s="47"/>
      <c r="H2" s="48"/>
      <c r="I2" s="48"/>
      <c r="J2" s="57" t="s">
        <v>57</v>
      </c>
      <c r="L2" s="48"/>
      <c r="M2" s="48"/>
      <c r="N2" s="28"/>
    </row>
    <row r="3" spans="1:17" s="6" customFormat="1" ht="18.75" x14ac:dyDescent="0.3">
      <c r="A3" s="5"/>
      <c r="B3" s="50"/>
      <c r="C3" s="52"/>
      <c r="D3" s="49"/>
      <c r="G3" s="47"/>
      <c r="H3" s="48"/>
      <c r="I3" s="48"/>
      <c r="J3" s="57" t="s">
        <v>58</v>
      </c>
      <c r="L3" s="48"/>
      <c r="M3" s="48"/>
      <c r="N3" s="28"/>
    </row>
    <row r="4" spans="1:17" s="6" customFormat="1" ht="18.75" x14ac:dyDescent="0.3">
      <c r="A4" s="5"/>
      <c r="B4" s="51"/>
      <c r="C4" s="52"/>
      <c r="D4" s="49"/>
      <c r="G4" s="47"/>
      <c r="H4" s="48"/>
      <c r="I4" s="48"/>
      <c r="J4" s="56" t="s">
        <v>67</v>
      </c>
      <c r="L4" s="48"/>
      <c r="M4" s="48"/>
      <c r="N4" s="28"/>
    </row>
    <row r="5" spans="1:17" s="6" customFormat="1" ht="10.5" customHeight="1" x14ac:dyDescent="0.25">
      <c r="A5" s="5"/>
      <c r="G5" s="47"/>
      <c r="H5" s="48"/>
      <c r="I5" s="48"/>
      <c r="J5" s="48"/>
      <c r="K5" s="48"/>
      <c r="L5" s="48"/>
      <c r="M5" s="48"/>
      <c r="N5" s="28"/>
    </row>
    <row r="6" spans="1:17" s="4" customFormat="1" ht="18.600000000000001" customHeight="1" x14ac:dyDescent="0.25">
      <c r="A6" s="86" t="s">
        <v>37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/>
      <c r="O6"/>
      <c r="P6" s="7"/>
    </row>
    <row r="7" spans="1:17" s="4" customFormat="1" ht="34.5" customHeight="1" x14ac:dyDescent="0.25">
      <c r="A7" s="85" t="s">
        <v>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O7" s="2"/>
      <c r="P7" s="2"/>
      <c r="Q7" s="2"/>
    </row>
    <row r="8" spans="1:17" s="1" customFormat="1" ht="8.25" customHeight="1" x14ac:dyDescent="0.25">
      <c r="A8" s="5"/>
      <c r="B8" s="6"/>
      <c r="C8" s="6"/>
      <c r="D8" s="6"/>
      <c r="E8" s="6"/>
      <c r="F8" s="6"/>
      <c r="G8" s="47"/>
      <c r="H8" s="48"/>
      <c r="I8" s="48"/>
      <c r="J8" s="48"/>
      <c r="K8" s="48"/>
      <c r="L8" s="48"/>
      <c r="M8" s="48"/>
      <c r="O8" s="2"/>
      <c r="P8" s="2"/>
      <c r="Q8" s="2"/>
    </row>
    <row r="9" spans="1:17" ht="15" customHeight="1" x14ac:dyDescent="0.25">
      <c r="A9" s="89" t="s">
        <v>0</v>
      </c>
      <c r="B9" s="92" t="s">
        <v>9</v>
      </c>
      <c r="C9" s="92" t="s">
        <v>1</v>
      </c>
      <c r="D9" s="93" t="s">
        <v>36</v>
      </c>
      <c r="E9" s="94"/>
      <c r="F9" s="94"/>
      <c r="G9" s="94"/>
      <c r="H9" s="94"/>
      <c r="I9" s="94"/>
      <c r="J9" s="94"/>
      <c r="K9" s="94"/>
      <c r="L9" s="94"/>
      <c r="M9" s="95"/>
    </row>
    <row r="10" spans="1:17" ht="15" customHeight="1" x14ac:dyDescent="0.25">
      <c r="A10" s="90"/>
      <c r="B10" s="92"/>
      <c r="C10" s="92"/>
      <c r="D10" s="99" t="s">
        <v>10</v>
      </c>
      <c r="E10" s="100"/>
      <c r="F10" s="100"/>
      <c r="G10" s="100"/>
      <c r="H10" s="100"/>
      <c r="I10" s="100"/>
      <c r="J10" s="100"/>
      <c r="K10" s="101"/>
      <c r="L10" s="96" t="s">
        <v>35</v>
      </c>
      <c r="M10" s="97" t="s">
        <v>63</v>
      </c>
    </row>
    <row r="11" spans="1:17" ht="48" customHeight="1" x14ac:dyDescent="0.25">
      <c r="A11" s="91"/>
      <c r="B11" s="92"/>
      <c r="C11" s="92"/>
      <c r="D11" s="17" t="s">
        <v>45</v>
      </c>
      <c r="E11" s="26" t="s">
        <v>43</v>
      </c>
      <c r="F11" s="26" t="s">
        <v>44</v>
      </c>
      <c r="G11" s="58" t="s">
        <v>47</v>
      </c>
      <c r="H11" s="58" t="s">
        <v>52</v>
      </c>
      <c r="I11" s="58" t="s">
        <v>46</v>
      </c>
      <c r="J11" s="79" t="s">
        <v>50</v>
      </c>
      <c r="K11" s="59" t="s">
        <v>55</v>
      </c>
      <c r="L11" s="96"/>
      <c r="M11" s="98"/>
    </row>
    <row r="12" spans="1:17" x14ac:dyDescent="0.25">
      <c r="A12" s="13" t="s">
        <v>2</v>
      </c>
      <c r="B12" s="29" t="s">
        <v>3</v>
      </c>
      <c r="C12" s="29" t="s">
        <v>4</v>
      </c>
      <c r="D12" s="29">
        <v>1</v>
      </c>
      <c r="E12" s="29">
        <v>2</v>
      </c>
      <c r="F12" s="29">
        <v>3</v>
      </c>
      <c r="G12" s="31">
        <v>1</v>
      </c>
      <c r="H12" s="31">
        <v>2</v>
      </c>
      <c r="I12" s="31">
        <v>3</v>
      </c>
      <c r="J12" s="80">
        <v>4</v>
      </c>
      <c r="K12" s="53">
        <v>5</v>
      </c>
      <c r="L12" s="31">
        <v>6</v>
      </c>
      <c r="M12" s="31">
        <v>7</v>
      </c>
    </row>
    <row r="13" spans="1:17" ht="15.75" x14ac:dyDescent="0.25">
      <c r="A13" s="61">
        <v>1</v>
      </c>
      <c r="B13" s="62" t="s">
        <v>38</v>
      </c>
      <c r="C13" s="55">
        <v>1</v>
      </c>
      <c r="D13" s="14">
        <v>1130.9970000000001</v>
      </c>
      <c r="E13" s="14">
        <v>1525.614</v>
      </c>
      <c r="F13" s="14">
        <v>1618.1130000000001</v>
      </c>
      <c r="G13" s="14">
        <v>1592.5550000000003</v>
      </c>
      <c r="H13" s="14">
        <v>1802.7119999999998</v>
      </c>
      <c r="I13" s="14">
        <f>I14+I15</f>
        <v>1968.0740000000001</v>
      </c>
      <c r="J13" s="77">
        <f>J14+J15</f>
        <v>2099.9059999999999</v>
      </c>
      <c r="K13" s="14">
        <f>K14+K15</f>
        <v>2070.8850000000002</v>
      </c>
      <c r="L13" s="14">
        <v>1569</v>
      </c>
      <c r="M13" s="14">
        <f>M14+M15</f>
        <v>2280.5920000000001</v>
      </c>
    </row>
    <row r="14" spans="1:17" ht="15.75" x14ac:dyDescent="0.25">
      <c r="A14" s="61" t="s">
        <v>8</v>
      </c>
      <c r="B14" s="62" t="s">
        <v>27</v>
      </c>
      <c r="C14" s="55">
        <v>2</v>
      </c>
      <c r="D14" s="15">
        <f>D13</f>
        <v>1130.9970000000001</v>
      </c>
      <c r="E14" s="15">
        <f>E13</f>
        <v>1525.614</v>
      </c>
      <c r="F14" s="15">
        <f>F13</f>
        <v>1618.1130000000001</v>
      </c>
      <c r="G14" s="15">
        <f>G13</f>
        <v>1592.5550000000003</v>
      </c>
      <c r="H14" s="15">
        <f>H13</f>
        <v>1802.7119999999998</v>
      </c>
      <c r="I14" s="15">
        <v>1968.04</v>
      </c>
      <c r="J14" s="76">
        <v>2099.8069999999998</v>
      </c>
      <c r="K14" s="15">
        <v>2070.8690000000001</v>
      </c>
      <c r="L14" s="15">
        <f>L18+L19+L21</f>
        <v>1569</v>
      </c>
      <c r="M14" s="43">
        <f>'[1]2025'!$I$10-M15</f>
        <v>2279.6420000000003</v>
      </c>
    </row>
    <row r="15" spans="1:17" ht="15.75" x14ac:dyDescent="0.25">
      <c r="A15" s="61" t="s">
        <v>6</v>
      </c>
      <c r="B15" s="62" t="s">
        <v>11</v>
      </c>
      <c r="C15" s="55">
        <v>3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1">
        <v>3.4000000000000002E-2</v>
      </c>
      <c r="J15" s="23">
        <v>9.9000000000000005E-2</v>
      </c>
      <c r="K15" s="11">
        <v>1.6E-2</v>
      </c>
      <c r="L15" s="18">
        <v>0</v>
      </c>
      <c r="M15" s="44">
        <v>0.95</v>
      </c>
    </row>
    <row r="16" spans="1:17" ht="15.75" x14ac:dyDescent="0.25">
      <c r="A16" s="61" t="s">
        <v>7</v>
      </c>
      <c r="B16" s="62" t="s">
        <v>5</v>
      </c>
      <c r="C16" s="55">
        <v>4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78">
        <v>0</v>
      </c>
      <c r="K16" s="18">
        <v>0</v>
      </c>
      <c r="L16" s="18">
        <v>0</v>
      </c>
      <c r="M16" s="45">
        <v>0</v>
      </c>
    </row>
    <row r="17" spans="1:17" ht="15.75" x14ac:dyDescent="0.25">
      <c r="A17" s="61" t="s">
        <v>53</v>
      </c>
      <c r="B17" s="62" t="s">
        <v>12</v>
      </c>
      <c r="C17" s="55">
        <v>5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78">
        <v>0</v>
      </c>
      <c r="K17" s="18">
        <v>0</v>
      </c>
      <c r="L17" s="18">
        <v>0</v>
      </c>
      <c r="M17" s="45">
        <v>0</v>
      </c>
    </row>
    <row r="18" spans="1:17" ht="15.75" x14ac:dyDescent="0.25">
      <c r="A18" s="61">
        <v>2</v>
      </c>
      <c r="B18" s="62" t="s">
        <v>13</v>
      </c>
      <c r="C18" s="55">
        <v>6</v>
      </c>
      <c r="D18" s="11">
        <v>75.326999999999998</v>
      </c>
      <c r="E18" s="11">
        <v>101.607</v>
      </c>
      <c r="F18" s="23">
        <v>107.765</v>
      </c>
      <c r="G18" s="23">
        <v>106.065</v>
      </c>
      <c r="H18" s="11">
        <v>121.73</v>
      </c>
      <c r="I18" s="11">
        <f>I14*0.0678</f>
        <v>133.43311199999999</v>
      </c>
      <c r="J18" s="23">
        <f>J14*0.0678</f>
        <v>142.36691459999997</v>
      </c>
      <c r="K18" s="11">
        <f>K14*0.0678</f>
        <v>140.4049182</v>
      </c>
      <c r="L18" s="11">
        <f>ROUND(L13*6.66%,2)</f>
        <v>104.5</v>
      </c>
      <c r="M18" s="44">
        <f>ROUND(M14*6.78%,2)</f>
        <v>154.56</v>
      </c>
      <c r="Q18" s="81"/>
    </row>
    <row r="19" spans="1:17" ht="15.75" x14ac:dyDescent="0.25">
      <c r="A19" s="61">
        <v>3</v>
      </c>
      <c r="B19" s="62" t="s">
        <v>14</v>
      </c>
      <c r="C19" s="55">
        <v>7</v>
      </c>
      <c r="D19" s="11">
        <v>21.945</v>
      </c>
      <c r="E19" s="11">
        <v>29.597999999999999</v>
      </c>
      <c r="F19" s="23">
        <v>31.391999999999999</v>
      </c>
      <c r="G19" s="23">
        <v>30.895</v>
      </c>
      <c r="H19" s="23">
        <v>24.951000000000001</v>
      </c>
      <c r="I19" s="23">
        <f>I14*0.0122</f>
        <v>24.010088</v>
      </c>
      <c r="J19" s="23">
        <f>J14*0.0122</f>
        <v>25.617645400000001</v>
      </c>
      <c r="K19" s="11">
        <f>K14*0.0122</f>
        <v>25.264601800000005</v>
      </c>
      <c r="L19" s="11">
        <f>ROUND(L13*1.94%,2)</f>
        <v>30.44</v>
      </c>
      <c r="M19" s="44">
        <f>ROUND(M14*1.22%,2)</f>
        <v>27.81</v>
      </c>
    </row>
    <row r="20" spans="1:17" ht="15.75" x14ac:dyDescent="0.25">
      <c r="A20" s="61">
        <v>4</v>
      </c>
      <c r="B20" s="62" t="s">
        <v>15</v>
      </c>
      <c r="C20" s="55">
        <v>8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78">
        <v>0</v>
      </c>
      <c r="K20" s="18">
        <v>0</v>
      </c>
      <c r="L20" s="18">
        <v>0</v>
      </c>
      <c r="M20" s="45">
        <v>0</v>
      </c>
    </row>
    <row r="21" spans="1:17" ht="15.75" x14ac:dyDescent="0.25">
      <c r="A21" s="61">
        <v>5</v>
      </c>
      <c r="B21" s="62" t="s">
        <v>16</v>
      </c>
      <c r="C21" s="55">
        <v>9</v>
      </c>
      <c r="D21" s="15">
        <v>1033.7249999999999</v>
      </c>
      <c r="E21" s="15">
        <f t="shared" ref="E21:K21" si="0">E14-E18-E19</f>
        <v>1394.4090000000001</v>
      </c>
      <c r="F21" s="15">
        <f t="shared" si="0"/>
        <v>1478.9559999999999</v>
      </c>
      <c r="G21" s="15">
        <f t="shared" si="0"/>
        <v>1455.5950000000003</v>
      </c>
      <c r="H21" s="15">
        <f t="shared" si="0"/>
        <v>1656.0309999999997</v>
      </c>
      <c r="I21" s="15">
        <f t="shared" si="0"/>
        <v>1810.5968</v>
      </c>
      <c r="J21" s="76">
        <f t="shared" si="0"/>
        <v>1931.8224399999999</v>
      </c>
      <c r="K21" s="15">
        <f t="shared" si="0"/>
        <v>1905.1994800000002</v>
      </c>
      <c r="L21" s="15">
        <f>L13-L18-L19</f>
        <v>1434.06</v>
      </c>
      <c r="M21" s="43">
        <f>M14-M18-M19</f>
        <v>2097.2720000000004</v>
      </c>
    </row>
    <row r="22" spans="1:17" ht="15.75" x14ac:dyDescent="0.25">
      <c r="A22" s="61" t="s">
        <v>21</v>
      </c>
      <c r="B22" s="62" t="s">
        <v>39</v>
      </c>
      <c r="C22" s="55">
        <v>10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78">
        <v>0</v>
      </c>
      <c r="K22" s="18">
        <v>0</v>
      </c>
      <c r="L22" s="18">
        <v>0</v>
      </c>
      <c r="M22" s="45">
        <v>0</v>
      </c>
    </row>
    <row r="23" spans="1:17" ht="15.75" x14ac:dyDescent="0.25">
      <c r="A23" s="61">
        <v>6</v>
      </c>
      <c r="B23" s="62" t="s">
        <v>56</v>
      </c>
      <c r="C23" s="55">
        <v>11</v>
      </c>
      <c r="D23" s="15">
        <v>30.76</v>
      </c>
      <c r="E23" s="15">
        <f>E24+E25</f>
        <v>82.078000000000003</v>
      </c>
      <c r="F23" s="15">
        <f>F24+F25</f>
        <v>87.055000000000007</v>
      </c>
      <c r="G23" s="24">
        <f>G24+G25</f>
        <v>85.679000000000002</v>
      </c>
      <c r="H23" s="15">
        <v>89.694999999999993</v>
      </c>
      <c r="I23" s="15">
        <f>I24+I25</f>
        <v>95.570888000000011</v>
      </c>
      <c r="J23" s="76">
        <f>J24+J25</f>
        <v>101.96708540000003</v>
      </c>
      <c r="K23" s="15">
        <f>K24+K25</f>
        <v>98.924081799999996</v>
      </c>
      <c r="L23" s="15">
        <f>ROUND(L13*5.38%,2)</f>
        <v>84.41</v>
      </c>
      <c r="M23" s="46">
        <f>M24+M25</f>
        <v>110.791</v>
      </c>
    </row>
    <row r="24" spans="1:17" ht="15.75" x14ac:dyDescent="0.25">
      <c r="A24" s="61" t="s">
        <v>22</v>
      </c>
      <c r="B24" s="62" t="s">
        <v>17</v>
      </c>
      <c r="C24" s="55">
        <v>12</v>
      </c>
      <c r="D24" s="15">
        <f>D23</f>
        <v>30.76</v>
      </c>
      <c r="E24" s="15">
        <f>ROUND(E13*2.72%,3)</f>
        <v>41.497</v>
      </c>
      <c r="F24" s="15">
        <f>ROUND(F13*2.72%,3)</f>
        <v>44.012999999999998</v>
      </c>
      <c r="G24" s="24">
        <f>ROUND(G13*2.72%,3)</f>
        <v>43.317</v>
      </c>
      <c r="H24" s="15">
        <f>H23-H25</f>
        <v>23.647999999999996</v>
      </c>
      <c r="I24" s="15">
        <f>151.107-I18</f>
        <v>17.673888000000005</v>
      </c>
      <c r="J24" s="76">
        <f>161.222-J18</f>
        <v>18.855085400000036</v>
      </c>
      <c r="K24" s="15">
        <f>157.363-K18</f>
        <v>16.958081800000002</v>
      </c>
      <c r="L24" s="15">
        <f>ROUND(L13*2.72%,2)</f>
        <v>42.68</v>
      </c>
      <c r="M24" s="46">
        <f>ROUND(M14*0.9%,3)</f>
        <v>20.516999999999999</v>
      </c>
    </row>
    <row r="25" spans="1:17" ht="15.75" x14ac:dyDescent="0.25">
      <c r="A25" s="61" t="s">
        <v>23</v>
      </c>
      <c r="B25" s="62" t="s">
        <v>18</v>
      </c>
      <c r="C25" s="55">
        <v>13</v>
      </c>
      <c r="D25" s="12">
        <v>0</v>
      </c>
      <c r="E25" s="15">
        <f>ROUND(E13*2.66%,3)</f>
        <v>40.581000000000003</v>
      </c>
      <c r="F25" s="15">
        <f>ROUND(F13*2.66%,3)</f>
        <v>43.042000000000002</v>
      </c>
      <c r="G25" s="24">
        <f>ROUND(G13*2.66%,3)</f>
        <v>42.362000000000002</v>
      </c>
      <c r="H25" s="15">
        <v>66.046999999999997</v>
      </c>
      <c r="I25" s="15">
        <v>77.897000000000006</v>
      </c>
      <c r="J25" s="76">
        <v>83.111999999999995</v>
      </c>
      <c r="K25" s="15">
        <v>81.965999999999994</v>
      </c>
      <c r="L25" s="15">
        <f>L23-L24</f>
        <v>41.73</v>
      </c>
      <c r="M25" s="46">
        <f>ROUND(M14*3.96%,3)</f>
        <v>90.274000000000001</v>
      </c>
    </row>
    <row r="26" spans="1:17" ht="15.75" x14ac:dyDescent="0.25">
      <c r="A26" s="66">
        <v>7</v>
      </c>
      <c r="B26" s="62" t="s">
        <v>19</v>
      </c>
      <c r="C26" s="55">
        <v>14</v>
      </c>
      <c r="D26" s="15">
        <v>63.222999999999999</v>
      </c>
      <c r="E26" s="15">
        <v>85.28</v>
      </c>
      <c r="F26" s="24">
        <v>90.451999999999998</v>
      </c>
      <c r="G26" s="24">
        <v>89.027000000000001</v>
      </c>
      <c r="H26" s="15">
        <v>116.592</v>
      </c>
      <c r="I26" s="15">
        <f>157.98-I19</f>
        <v>133.96991199999999</v>
      </c>
      <c r="J26" s="76">
        <f>167.414-J19</f>
        <v>141.79635459999997</v>
      </c>
      <c r="K26" s="15">
        <v>141.369</v>
      </c>
      <c r="L26" s="15">
        <f>ROUND(L13*5.59%,2)</f>
        <v>87.71</v>
      </c>
      <c r="M26" s="43">
        <f>ROUND(M14*6.63%,2)</f>
        <v>151.13999999999999</v>
      </c>
    </row>
    <row r="27" spans="1:17" ht="15.75" x14ac:dyDescent="0.25">
      <c r="A27" s="66">
        <v>8</v>
      </c>
      <c r="B27" s="62" t="s">
        <v>40</v>
      </c>
      <c r="C27" s="55">
        <v>15</v>
      </c>
      <c r="D27" s="15">
        <v>96.623000000000005</v>
      </c>
      <c r="E27" s="15">
        <f t="shared" ref="E27:L27" si="1">E28+E29+E30</f>
        <v>92.281000000000006</v>
      </c>
      <c r="F27" s="15">
        <f t="shared" si="1"/>
        <v>81.722999999999999</v>
      </c>
      <c r="G27" s="24">
        <f t="shared" si="1"/>
        <v>78.034000000000006</v>
      </c>
      <c r="H27" s="15">
        <f t="shared" si="1"/>
        <v>74.95</v>
      </c>
      <c r="I27" s="15">
        <f t="shared" si="1"/>
        <v>92.859000000000009</v>
      </c>
      <c r="J27" s="76">
        <f>J28+J29+J30</f>
        <v>76.368000000000009</v>
      </c>
      <c r="K27" s="15">
        <f>K28+K29+K30</f>
        <v>80.477999999999994</v>
      </c>
      <c r="L27" s="15">
        <f t="shared" si="1"/>
        <v>128.28</v>
      </c>
      <c r="M27" s="43">
        <f>M28+M29+M30</f>
        <v>89.64200000000001</v>
      </c>
      <c r="N27" s="35"/>
    </row>
    <row r="28" spans="1:17" ht="15.75" x14ac:dyDescent="0.25">
      <c r="A28" s="63" t="s">
        <v>30</v>
      </c>
      <c r="B28" s="62" t="s">
        <v>25</v>
      </c>
      <c r="C28" s="55">
        <v>16</v>
      </c>
      <c r="D28" s="15">
        <v>0</v>
      </c>
      <c r="E28" s="15">
        <v>0</v>
      </c>
      <c r="F28" s="15">
        <v>0</v>
      </c>
      <c r="G28" s="24">
        <v>0</v>
      </c>
      <c r="H28" s="15">
        <v>0</v>
      </c>
      <c r="I28" s="15">
        <v>0</v>
      </c>
      <c r="J28" s="76">
        <v>0</v>
      </c>
      <c r="K28" s="15">
        <v>0</v>
      </c>
      <c r="L28" s="15">
        <v>0</v>
      </c>
      <c r="M28" s="43">
        <v>0</v>
      </c>
      <c r="N28" s="35"/>
    </row>
    <row r="29" spans="1:17" ht="15.75" x14ac:dyDescent="0.25">
      <c r="A29" s="64" t="s">
        <v>31</v>
      </c>
      <c r="B29" s="65" t="s">
        <v>28</v>
      </c>
      <c r="C29" s="60">
        <v>17</v>
      </c>
      <c r="D29" s="9">
        <v>0.81399999999999995</v>
      </c>
      <c r="E29" s="9">
        <v>0.83399999999999996</v>
      </c>
      <c r="F29" s="24">
        <v>0.879</v>
      </c>
      <c r="G29" s="24">
        <v>0.86599999999999999</v>
      </c>
      <c r="H29" s="24">
        <v>1.39</v>
      </c>
      <c r="I29" s="24">
        <f>'[2]4-НКП Зведена '!$X$47</f>
        <v>0.79899999999999971</v>
      </c>
      <c r="J29" s="24">
        <v>0.68300000000000005</v>
      </c>
      <c r="K29" s="54">
        <v>0.67200000000000004</v>
      </c>
      <c r="L29" s="11">
        <v>0.85</v>
      </c>
      <c r="M29" s="44">
        <v>0.68</v>
      </c>
      <c r="N29" s="35"/>
    </row>
    <row r="30" spans="1:17" ht="15.75" x14ac:dyDescent="0.25">
      <c r="A30" s="64" t="s">
        <v>32</v>
      </c>
      <c r="B30" s="65" t="s">
        <v>29</v>
      </c>
      <c r="C30" s="60">
        <v>18</v>
      </c>
      <c r="D30" s="9">
        <v>95.808999999999997</v>
      </c>
      <c r="E30" s="9">
        <f>91.269+0.178</f>
        <v>91.447000000000003</v>
      </c>
      <c r="F30" s="24">
        <f>0.889+79.955</f>
        <v>80.843999999999994</v>
      </c>
      <c r="G30" s="24">
        <v>77.168000000000006</v>
      </c>
      <c r="H30" s="9">
        <v>73.56</v>
      </c>
      <c r="I30" s="9">
        <f>'[2]4-НКП Зведена '!$X$48</f>
        <v>92.06</v>
      </c>
      <c r="J30" s="76">
        <v>75.685000000000002</v>
      </c>
      <c r="K30" s="15">
        <v>79.805999999999997</v>
      </c>
      <c r="L30" s="11">
        <f>2.136+125.294</f>
        <v>127.42999999999999</v>
      </c>
      <c r="M30" s="44">
        <v>88.962000000000003</v>
      </c>
      <c r="N30" s="35"/>
    </row>
    <row r="31" spans="1:17" ht="15.75" x14ac:dyDescent="0.25">
      <c r="A31" s="67">
        <v>9</v>
      </c>
      <c r="B31" s="65" t="s">
        <v>20</v>
      </c>
      <c r="C31" s="55">
        <v>19</v>
      </c>
      <c r="D31" s="10">
        <v>5276.9279999999999</v>
      </c>
      <c r="E31" s="10">
        <v>5675.3379999999997</v>
      </c>
      <c r="F31" s="10">
        <v>5551.2340000000004</v>
      </c>
      <c r="G31" s="10">
        <v>5604.0339999999997</v>
      </c>
      <c r="H31" s="10">
        <v>5946.0150000000003</v>
      </c>
      <c r="I31" s="10">
        <v>5471.4959999999992</v>
      </c>
      <c r="J31" s="77">
        <v>5379.21</v>
      </c>
      <c r="K31" s="14">
        <v>6140.9189999999999</v>
      </c>
      <c r="L31" s="14">
        <f>L32</f>
        <v>5986.1880000000001</v>
      </c>
      <c r="M31" s="14">
        <f>M32</f>
        <v>5890.165</v>
      </c>
      <c r="O31" s="82"/>
    </row>
    <row r="32" spans="1:17" ht="15.75" x14ac:dyDescent="0.25">
      <c r="A32" s="64" t="s">
        <v>24</v>
      </c>
      <c r="B32" s="65" t="s">
        <v>41</v>
      </c>
      <c r="C32" s="60">
        <v>20</v>
      </c>
      <c r="D32" s="9">
        <f>D31</f>
        <v>5276.9279999999999</v>
      </c>
      <c r="E32" s="9">
        <f>E31</f>
        <v>5675.3379999999997</v>
      </c>
      <c r="F32" s="9">
        <f>F31</f>
        <v>5551.2340000000004</v>
      </c>
      <c r="G32" s="9">
        <f>G31</f>
        <v>5604.0339999999997</v>
      </c>
      <c r="H32" s="9">
        <f>H31</f>
        <v>5946.0150000000003</v>
      </c>
      <c r="I32" s="9">
        <v>5471.4960000000001</v>
      </c>
      <c r="J32" s="15">
        <f>J31</f>
        <v>5379.21</v>
      </c>
      <c r="K32" s="15">
        <f>K31</f>
        <v>6140.9189999999999</v>
      </c>
      <c r="L32" s="11">
        <v>5986.1880000000001</v>
      </c>
      <c r="M32" s="11">
        <f>M33+1238.945</f>
        <v>5890.165</v>
      </c>
      <c r="O32" s="82"/>
    </row>
    <row r="33" spans="1:15" ht="31.5" x14ac:dyDescent="0.25">
      <c r="A33" s="67">
        <v>10</v>
      </c>
      <c r="B33" s="65" t="s">
        <v>42</v>
      </c>
      <c r="C33" s="60">
        <v>21</v>
      </c>
      <c r="D33" s="9">
        <f t="shared" ref="D33:M33" si="2">D35+D36</f>
        <v>4436.3950000000004</v>
      </c>
      <c r="E33" s="9">
        <f t="shared" si="2"/>
        <v>4542.8330000000005</v>
      </c>
      <c r="F33" s="9">
        <f t="shared" si="2"/>
        <v>4725.3490000000002</v>
      </c>
      <c r="G33" s="9">
        <f t="shared" si="2"/>
        <v>4787.3539999999994</v>
      </c>
      <c r="H33" s="9">
        <f t="shared" si="2"/>
        <v>4784.9629999999997</v>
      </c>
      <c r="I33" s="9">
        <f t="shared" si="2"/>
        <v>4406.7379999999994</v>
      </c>
      <c r="J33" s="15">
        <f t="shared" si="2"/>
        <v>4254.2849999999999</v>
      </c>
      <c r="K33" s="15">
        <f t="shared" si="2"/>
        <v>5016.43</v>
      </c>
      <c r="L33" s="11">
        <f t="shared" si="2"/>
        <v>4579.1459999999997</v>
      </c>
      <c r="M33" s="11">
        <f t="shared" si="2"/>
        <v>4651.22</v>
      </c>
      <c r="O33" s="82"/>
    </row>
    <row r="34" spans="1:15" ht="15.75" x14ac:dyDescent="0.25">
      <c r="A34" s="61" t="s">
        <v>26</v>
      </c>
      <c r="B34" s="62" t="s">
        <v>25</v>
      </c>
      <c r="C34" s="55">
        <v>22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78">
        <v>0</v>
      </c>
      <c r="K34" s="18">
        <v>0</v>
      </c>
      <c r="L34" s="18">
        <v>0</v>
      </c>
      <c r="M34" s="18">
        <v>0</v>
      </c>
      <c r="O34" s="82"/>
    </row>
    <row r="35" spans="1:15" ht="15.75" x14ac:dyDescent="0.25">
      <c r="A35" s="64" t="s">
        <v>33</v>
      </c>
      <c r="B35" s="65" t="s">
        <v>28</v>
      </c>
      <c r="C35" s="60">
        <v>23</v>
      </c>
      <c r="D35" s="9">
        <v>4352.71</v>
      </c>
      <c r="E35" s="9">
        <v>4463.6880000000001</v>
      </c>
      <c r="F35" s="9">
        <v>4659.2449999999999</v>
      </c>
      <c r="G35" s="9">
        <v>4726.0079999999998</v>
      </c>
      <c r="H35" s="9">
        <v>4715.8389999999999</v>
      </c>
      <c r="I35" s="9">
        <v>4322.3359999999993</v>
      </c>
      <c r="J35" s="76">
        <v>4186.1210000000001</v>
      </c>
      <c r="K35" s="15">
        <v>4945.0590000000002</v>
      </c>
      <c r="L35" s="11">
        <v>4465</v>
      </c>
      <c r="M35" s="11">
        <v>4565.59</v>
      </c>
      <c r="N35" s="2" t="s">
        <v>65</v>
      </c>
      <c r="O35" s="82"/>
    </row>
    <row r="36" spans="1:15" ht="15.75" x14ac:dyDescent="0.25">
      <c r="A36" s="64" t="s">
        <v>34</v>
      </c>
      <c r="B36" s="65" t="s">
        <v>29</v>
      </c>
      <c r="C36" s="60">
        <v>24</v>
      </c>
      <c r="D36" s="9">
        <f>83.141+0.544</f>
        <v>83.685000000000002</v>
      </c>
      <c r="E36" s="9">
        <f>78.821+0.324</f>
        <v>79.144999999999996</v>
      </c>
      <c r="F36" s="9">
        <v>66.103999999999999</v>
      </c>
      <c r="G36" s="9">
        <v>61.345999999999997</v>
      </c>
      <c r="H36" s="9">
        <v>69.123999999999995</v>
      </c>
      <c r="I36" s="9">
        <v>84.402000000000044</v>
      </c>
      <c r="J36" s="76">
        <v>68.164000000000001</v>
      </c>
      <c r="K36" s="15">
        <v>71.370999999999995</v>
      </c>
      <c r="L36" s="11">
        <f>113.546+0.6</f>
        <v>114.146</v>
      </c>
      <c r="M36" s="11">
        <f>'[3]2025'!$I$20</f>
        <v>85.63</v>
      </c>
      <c r="O36" s="82"/>
    </row>
    <row r="37" spans="1:15" ht="15" customHeight="1" x14ac:dyDescent="0.25">
      <c r="A37" s="73"/>
      <c r="B37" s="19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O37" s="82"/>
    </row>
    <row r="38" spans="1:15" ht="18.75" x14ac:dyDescent="0.3">
      <c r="A38" s="87" t="s">
        <v>66</v>
      </c>
      <c r="B38" s="87"/>
      <c r="C38" s="68"/>
      <c r="D38" s="68"/>
      <c r="E38" s="68"/>
      <c r="F38" s="69"/>
      <c r="G38" s="70"/>
      <c r="H38" s="2"/>
      <c r="I38" s="2"/>
      <c r="J38" s="88" t="s">
        <v>64</v>
      </c>
      <c r="K38" s="88"/>
      <c r="L38" s="88"/>
      <c r="M38" s="88"/>
      <c r="N38" s="68"/>
      <c r="O38" s="82"/>
    </row>
    <row r="39" spans="1:15" ht="15.75" x14ac:dyDescent="0.25">
      <c r="A39" s="84"/>
      <c r="B39" s="84"/>
      <c r="C39" s="83"/>
      <c r="D39" s="83"/>
      <c r="E39" s="83"/>
      <c r="F39" s="19"/>
      <c r="G39" s="21"/>
      <c r="H39" s="84"/>
      <c r="I39" s="84"/>
      <c r="J39" s="84"/>
      <c r="K39" s="84"/>
      <c r="L39" s="84"/>
      <c r="M39" s="84"/>
      <c r="O39" s="82"/>
    </row>
    <row r="40" spans="1:15" ht="15.75" x14ac:dyDescent="0.25">
      <c r="A40" s="83" t="s">
        <v>51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O40" s="82"/>
    </row>
    <row r="41" spans="1:15" ht="15.75" x14ac:dyDescent="0.25">
      <c r="I41" s="32"/>
      <c r="J41" s="32"/>
      <c r="K41" s="32">
        <f>K31-K33</f>
        <v>1124.4889999999996</v>
      </c>
      <c r="L41" s="33"/>
      <c r="M41" s="32">
        <f>M31-M33</f>
        <v>1238.9449999999997</v>
      </c>
      <c r="N41" s="35"/>
      <c r="O41" s="82"/>
    </row>
    <row r="42" spans="1:15" ht="15.75" x14ac:dyDescent="0.25">
      <c r="I42" s="36"/>
      <c r="J42" s="36"/>
      <c r="K42" s="36"/>
      <c r="L42" s="37"/>
      <c r="M42" s="38"/>
      <c r="N42" s="35"/>
      <c r="O42" s="82"/>
    </row>
    <row r="43" spans="1:15" ht="15.75" x14ac:dyDescent="0.25">
      <c r="B43" s="8"/>
      <c r="I43" s="36"/>
      <c r="J43" s="36"/>
      <c r="K43" s="36"/>
      <c r="L43" s="37"/>
      <c r="M43" s="38"/>
      <c r="N43" s="35"/>
      <c r="O43" s="82"/>
    </row>
    <row r="44" spans="1:15" ht="15.75" x14ac:dyDescent="0.25">
      <c r="I44" s="39"/>
      <c r="J44" s="39"/>
      <c r="K44" s="39"/>
      <c r="L44" s="40"/>
      <c r="M44" s="41"/>
      <c r="N44" s="35"/>
      <c r="O44" s="82"/>
    </row>
    <row r="45" spans="1:15" ht="15.75" x14ac:dyDescent="0.25">
      <c r="I45" s="36"/>
      <c r="J45" s="36"/>
      <c r="K45" s="36"/>
      <c r="L45" s="37"/>
      <c r="M45" s="38"/>
      <c r="N45" s="35"/>
      <c r="O45" s="82"/>
    </row>
    <row r="46" spans="1:15" ht="15.75" x14ac:dyDescent="0.25">
      <c r="I46" s="36"/>
      <c r="J46" s="36"/>
      <c r="K46" s="36"/>
      <c r="L46" s="37"/>
      <c r="M46" s="38"/>
      <c r="N46" s="35"/>
      <c r="O46" s="82"/>
    </row>
    <row r="47" spans="1:15" x14ac:dyDescent="0.25">
      <c r="I47" s="16"/>
      <c r="J47" s="16"/>
      <c r="L47" s="42"/>
      <c r="N47" s="35"/>
      <c r="O47" s="82"/>
    </row>
    <row r="48" spans="1:15" x14ac:dyDescent="0.25">
      <c r="O48" s="82"/>
    </row>
    <row r="49" spans="15:15" x14ac:dyDescent="0.25">
      <c r="O49" s="82"/>
    </row>
    <row r="50" spans="15:15" x14ac:dyDescent="0.25">
      <c r="O50" s="82"/>
    </row>
    <row r="51" spans="15:15" x14ac:dyDescent="0.25">
      <c r="O51" s="82"/>
    </row>
    <row r="52" spans="15:15" x14ac:dyDescent="0.25">
      <c r="O52" s="82"/>
    </row>
    <row r="53" spans="15:15" x14ac:dyDescent="0.25">
      <c r="O53" s="82"/>
    </row>
    <row r="54" spans="15:15" x14ac:dyDescent="0.25">
      <c r="O54" s="82"/>
    </row>
    <row r="55" spans="15:15" x14ac:dyDescent="0.25">
      <c r="O55" s="82"/>
    </row>
    <row r="56" spans="15:15" x14ac:dyDescent="0.25">
      <c r="O56" s="82"/>
    </row>
    <row r="57" spans="15:15" x14ac:dyDescent="0.25">
      <c r="O57" s="82"/>
    </row>
    <row r="58" spans="15:15" x14ac:dyDescent="0.25">
      <c r="O58" s="82"/>
    </row>
    <row r="59" spans="15:15" x14ac:dyDescent="0.25">
      <c r="O59" s="82"/>
    </row>
    <row r="60" spans="15:15" x14ac:dyDescent="0.25">
      <c r="O60" s="82"/>
    </row>
    <row r="61" spans="15:15" x14ac:dyDescent="0.25">
      <c r="O61" s="82"/>
    </row>
    <row r="62" spans="15:15" x14ac:dyDescent="0.25">
      <c r="O62" s="82"/>
    </row>
    <row r="63" spans="15:15" x14ac:dyDescent="0.25">
      <c r="O63" s="82"/>
    </row>
    <row r="64" spans="15:15" x14ac:dyDescent="0.25">
      <c r="O64" s="82"/>
    </row>
    <row r="65" spans="15:15" x14ac:dyDescent="0.25">
      <c r="O65" s="82"/>
    </row>
    <row r="66" spans="15:15" x14ac:dyDescent="0.25">
      <c r="O66" s="82"/>
    </row>
    <row r="67" spans="15:15" x14ac:dyDescent="0.25">
      <c r="O67" s="82"/>
    </row>
    <row r="68" spans="15:15" x14ac:dyDescent="0.25">
      <c r="O68" s="82"/>
    </row>
    <row r="69" spans="15:15" x14ac:dyDescent="0.25">
      <c r="O69" s="82"/>
    </row>
    <row r="70" spans="15:15" x14ac:dyDescent="0.25">
      <c r="O70" s="82"/>
    </row>
  </sheetData>
  <dataConsolidate/>
  <mergeCells count="15">
    <mergeCell ref="A6:M6"/>
    <mergeCell ref="A38:B38"/>
    <mergeCell ref="J38:M38"/>
    <mergeCell ref="A9:A11"/>
    <mergeCell ref="B9:B11"/>
    <mergeCell ref="C9:C11"/>
    <mergeCell ref="D9:M9"/>
    <mergeCell ref="L10:L11"/>
    <mergeCell ref="M10:M11"/>
    <mergeCell ref="D10:K10"/>
    <mergeCell ref="A40:M40"/>
    <mergeCell ref="A39:B39"/>
    <mergeCell ref="C39:E39"/>
    <mergeCell ref="H39:M39"/>
    <mergeCell ref="A7:M7"/>
  </mergeCells>
  <printOptions horizontalCentered="1"/>
  <pageMargins left="0.39370078740157483" right="0.39370078740157483" top="0.78740157480314965" bottom="0.39370078740157483" header="0" footer="0"/>
  <pageSetup paperSize="9" scale="74" orientation="landscape" r:id="rId1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47"/>
  <sheetViews>
    <sheetView view="pageBreakPreview" topLeftCell="A14" zoomScaleNormal="89" zoomScaleSheetLayoutView="100" workbookViewId="0">
      <selection activeCell="P33" sqref="P33"/>
    </sheetView>
  </sheetViews>
  <sheetFormatPr defaultRowHeight="15" x14ac:dyDescent="0.25"/>
  <cols>
    <col min="1" max="1" width="5.42578125" style="3" customWidth="1"/>
    <col min="2" max="2" width="74.85546875" style="2" customWidth="1"/>
    <col min="3" max="3" width="6.85546875" style="2" customWidth="1"/>
    <col min="4" max="5" width="10.28515625" style="2" hidden="1" customWidth="1"/>
    <col min="6" max="6" width="10.28515625" style="25" hidden="1" customWidth="1"/>
    <col min="7" max="7" width="11.85546875" style="22" customWidth="1"/>
    <col min="8" max="10" width="11.85546875" style="20" customWidth="1"/>
    <col min="11" max="11" width="11.85546875" style="16" customWidth="1"/>
    <col min="12" max="12" width="11.85546875" style="27" customWidth="1"/>
    <col min="13" max="13" width="11.85546875" style="16" customWidth="1"/>
    <col min="14" max="14" width="8.28515625" style="2" customWidth="1"/>
    <col min="15" max="16384" width="9.140625" style="2"/>
  </cols>
  <sheetData>
    <row r="1" spans="1:17" s="6" customFormat="1" ht="18.75" x14ac:dyDescent="0.3">
      <c r="A1" s="5"/>
      <c r="B1" s="50"/>
      <c r="C1" s="52"/>
      <c r="D1" s="49"/>
      <c r="G1" s="47"/>
      <c r="H1" s="48"/>
      <c r="I1" s="48"/>
      <c r="J1" s="57" t="s">
        <v>49</v>
      </c>
      <c r="L1" s="48"/>
      <c r="M1" s="48"/>
      <c r="N1" s="28"/>
    </row>
    <row r="2" spans="1:17" s="6" customFormat="1" ht="18.75" x14ac:dyDescent="0.3">
      <c r="A2" s="5"/>
      <c r="B2" s="50"/>
      <c r="C2" s="52"/>
      <c r="D2" s="49"/>
      <c r="G2" s="47"/>
      <c r="H2" s="48"/>
      <c r="I2" s="48"/>
      <c r="J2" s="57" t="s">
        <v>57</v>
      </c>
      <c r="L2" s="48"/>
      <c r="M2" s="48"/>
      <c r="N2" s="28"/>
    </row>
    <row r="3" spans="1:17" s="6" customFormat="1" ht="18.75" x14ac:dyDescent="0.3">
      <c r="A3" s="5"/>
      <c r="B3" s="50"/>
      <c r="C3" s="52"/>
      <c r="D3" s="49"/>
      <c r="G3" s="47"/>
      <c r="H3" s="48"/>
      <c r="I3" s="48"/>
      <c r="J3" s="57" t="s">
        <v>58</v>
      </c>
      <c r="L3" s="48"/>
      <c r="M3" s="48"/>
      <c r="N3" s="28"/>
    </row>
    <row r="4" spans="1:17" s="6" customFormat="1" ht="18.75" x14ac:dyDescent="0.3">
      <c r="A4" s="5"/>
      <c r="B4" s="51"/>
      <c r="C4" s="52"/>
      <c r="D4" s="49"/>
      <c r="G4" s="47"/>
      <c r="H4" s="48"/>
      <c r="I4" s="48"/>
      <c r="J4" s="56" t="s">
        <v>59</v>
      </c>
      <c r="L4" s="48"/>
      <c r="M4" s="48"/>
      <c r="N4" s="28"/>
    </row>
    <row r="5" spans="1:17" s="6" customFormat="1" ht="10.5" customHeight="1" x14ac:dyDescent="0.25">
      <c r="A5" s="5"/>
      <c r="G5" s="47"/>
      <c r="H5" s="48"/>
      <c r="I5" s="48"/>
      <c r="J5" s="48"/>
      <c r="K5" s="48"/>
      <c r="L5" s="48"/>
      <c r="M5" s="48"/>
      <c r="N5" s="28"/>
    </row>
    <row r="6" spans="1:17" s="4" customFormat="1" ht="18.600000000000001" customHeight="1" x14ac:dyDescent="0.25">
      <c r="A6" s="86" t="s">
        <v>37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/>
      <c r="O6"/>
      <c r="P6"/>
      <c r="Q6" s="7"/>
    </row>
    <row r="7" spans="1:17" s="4" customFormat="1" ht="34.5" customHeight="1" x14ac:dyDescent="0.25">
      <c r="A7" s="85" t="s">
        <v>61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7" s="1" customFormat="1" ht="8.25" customHeight="1" x14ac:dyDescent="0.25">
      <c r="A8" s="5"/>
      <c r="B8" s="6"/>
      <c r="C8" s="6"/>
      <c r="D8" s="6"/>
      <c r="E8" s="6"/>
      <c r="F8" s="6"/>
      <c r="G8" s="47"/>
      <c r="H8" s="48"/>
      <c r="I8" s="48"/>
      <c r="J8" s="48"/>
      <c r="K8" s="48"/>
      <c r="L8" s="48"/>
      <c r="M8" s="48"/>
    </row>
    <row r="9" spans="1:17" ht="15" customHeight="1" x14ac:dyDescent="0.25">
      <c r="A9" s="89" t="s">
        <v>0</v>
      </c>
      <c r="B9" s="92" t="s">
        <v>9</v>
      </c>
      <c r="C9" s="92" t="s">
        <v>1</v>
      </c>
      <c r="D9" s="93" t="s">
        <v>36</v>
      </c>
      <c r="E9" s="94"/>
      <c r="F9" s="94"/>
      <c r="G9" s="94"/>
      <c r="H9" s="94"/>
      <c r="I9" s="94"/>
      <c r="J9" s="94"/>
      <c r="K9" s="94"/>
      <c r="L9" s="94"/>
      <c r="M9" s="95"/>
    </row>
    <row r="10" spans="1:17" ht="15" customHeight="1" x14ac:dyDescent="0.25">
      <c r="A10" s="90"/>
      <c r="B10" s="92"/>
      <c r="C10" s="92"/>
      <c r="D10" s="99" t="s">
        <v>10</v>
      </c>
      <c r="E10" s="100"/>
      <c r="F10" s="100"/>
      <c r="G10" s="100"/>
      <c r="H10" s="100"/>
      <c r="I10" s="100"/>
      <c r="J10" s="100"/>
      <c r="K10" s="101"/>
      <c r="L10" s="96" t="s">
        <v>35</v>
      </c>
      <c r="M10" s="97" t="s">
        <v>54</v>
      </c>
    </row>
    <row r="11" spans="1:17" ht="48" customHeight="1" x14ac:dyDescent="0.25">
      <c r="A11" s="91"/>
      <c r="B11" s="92"/>
      <c r="C11" s="92"/>
      <c r="D11" s="17" t="s">
        <v>45</v>
      </c>
      <c r="E11" s="26" t="s">
        <v>43</v>
      </c>
      <c r="F11" s="26" t="s">
        <v>44</v>
      </c>
      <c r="G11" s="58" t="s">
        <v>47</v>
      </c>
      <c r="H11" s="58" t="s">
        <v>52</v>
      </c>
      <c r="I11" s="58" t="s">
        <v>46</v>
      </c>
      <c r="J11" s="58" t="s">
        <v>50</v>
      </c>
      <c r="K11" s="59" t="s">
        <v>55</v>
      </c>
      <c r="L11" s="96"/>
      <c r="M11" s="98"/>
    </row>
    <row r="12" spans="1:17" x14ac:dyDescent="0.25">
      <c r="A12" s="13" t="s">
        <v>2</v>
      </c>
      <c r="B12" s="55" t="s">
        <v>3</v>
      </c>
      <c r="C12" s="55" t="s">
        <v>4</v>
      </c>
      <c r="D12" s="55">
        <v>1</v>
      </c>
      <c r="E12" s="55">
        <v>2</v>
      </c>
      <c r="F12" s="55">
        <v>3</v>
      </c>
      <c r="G12" s="75">
        <v>1</v>
      </c>
      <c r="H12" s="75">
        <v>2</v>
      </c>
      <c r="I12" s="75">
        <v>3</v>
      </c>
      <c r="J12" s="75">
        <v>4</v>
      </c>
      <c r="K12" s="75">
        <v>5</v>
      </c>
      <c r="L12" s="75">
        <v>6</v>
      </c>
      <c r="M12" s="75">
        <v>7</v>
      </c>
    </row>
    <row r="13" spans="1:17" ht="15.75" x14ac:dyDescent="0.25">
      <c r="A13" s="61">
        <v>1</v>
      </c>
      <c r="B13" s="62" t="s">
        <v>38</v>
      </c>
      <c r="C13" s="55">
        <v>1</v>
      </c>
      <c r="D13" s="14">
        <v>1130.9970000000001</v>
      </c>
      <c r="E13" s="14">
        <v>1525.614</v>
      </c>
      <c r="F13" s="14">
        <v>1618.1130000000001</v>
      </c>
      <c r="G13" s="14">
        <v>1592.5550000000003</v>
      </c>
      <c r="H13" s="14">
        <v>1802.7119999999998</v>
      </c>
      <c r="I13" s="14">
        <f>I14+I15</f>
        <v>1968.0740000000001</v>
      </c>
      <c r="J13" s="14">
        <f>J14+J15</f>
        <v>2140.5310000000004</v>
      </c>
      <c r="K13" s="14">
        <f>K14+K15</f>
        <v>2070.8850000000002</v>
      </c>
      <c r="L13" s="14">
        <v>1569</v>
      </c>
      <c r="M13" s="14">
        <f>M14+M15</f>
        <v>2156.3609999999999</v>
      </c>
    </row>
    <row r="14" spans="1:17" ht="15.75" x14ac:dyDescent="0.25">
      <c r="A14" s="61" t="s">
        <v>8</v>
      </c>
      <c r="B14" s="62" t="s">
        <v>27</v>
      </c>
      <c r="C14" s="55">
        <v>2</v>
      </c>
      <c r="D14" s="15">
        <f>D13</f>
        <v>1130.9970000000001</v>
      </c>
      <c r="E14" s="15">
        <f>E13</f>
        <v>1525.614</v>
      </c>
      <c r="F14" s="15">
        <f>F13</f>
        <v>1618.1130000000001</v>
      </c>
      <c r="G14" s="15">
        <f>G13</f>
        <v>1592.5550000000003</v>
      </c>
      <c r="H14" s="15">
        <f>H13</f>
        <v>1802.7119999999998</v>
      </c>
      <c r="I14" s="15">
        <v>1968.04</v>
      </c>
      <c r="J14" s="15">
        <v>2140.4140000000002</v>
      </c>
      <c r="K14" s="15">
        <v>2070.8690000000001</v>
      </c>
      <c r="L14" s="15">
        <f>L18+L19+L21</f>
        <v>1569</v>
      </c>
      <c r="M14" s="43">
        <v>2155.4110000000001</v>
      </c>
    </row>
    <row r="15" spans="1:17" ht="15.75" x14ac:dyDescent="0.25">
      <c r="A15" s="61" t="s">
        <v>6</v>
      </c>
      <c r="B15" s="62" t="s">
        <v>11</v>
      </c>
      <c r="C15" s="55">
        <v>3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1">
        <v>3.4000000000000002E-2</v>
      </c>
      <c r="J15" s="11">
        <v>0.11700000000000001</v>
      </c>
      <c r="K15" s="11">
        <v>1.6E-2</v>
      </c>
      <c r="L15" s="18">
        <v>0</v>
      </c>
      <c r="M15" s="44">
        <v>0.95</v>
      </c>
    </row>
    <row r="16" spans="1:17" ht="15.75" x14ac:dyDescent="0.25">
      <c r="A16" s="61" t="s">
        <v>7</v>
      </c>
      <c r="B16" s="62" t="s">
        <v>5</v>
      </c>
      <c r="C16" s="55">
        <v>4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45">
        <v>0</v>
      </c>
    </row>
    <row r="17" spans="1:13" ht="15.75" x14ac:dyDescent="0.25">
      <c r="A17" s="61" t="s">
        <v>53</v>
      </c>
      <c r="B17" s="62" t="s">
        <v>12</v>
      </c>
      <c r="C17" s="55">
        <v>5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45">
        <v>0</v>
      </c>
    </row>
    <row r="18" spans="1:13" ht="15.75" x14ac:dyDescent="0.25">
      <c r="A18" s="61">
        <v>2</v>
      </c>
      <c r="B18" s="62" t="s">
        <v>13</v>
      </c>
      <c r="C18" s="55">
        <v>6</v>
      </c>
      <c r="D18" s="11">
        <v>75.326999999999998</v>
      </c>
      <c r="E18" s="11">
        <v>101.607</v>
      </c>
      <c r="F18" s="23">
        <v>107.765</v>
      </c>
      <c r="G18" s="23">
        <v>106.065</v>
      </c>
      <c r="H18" s="11">
        <v>121.73</v>
      </c>
      <c r="I18" s="11">
        <f>I14*0.0678</f>
        <v>133.43311199999999</v>
      </c>
      <c r="J18" s="11">
        <f>J14*0.0678</f>
        <v>145.12006920000002</v>
      </c>
      <c r="K18" s="11">
        <f>K14*0.0678</f>
        <v>140.4049182</v>
      </c>
      <c r="L18" s="11">
        <f>ROUND(L13*6.66%,2)</f>
        <v>104.5</v>
      </c>
      <c r="M18" s="44">
        <f>ROUND(M14*6.78%,2)</f>
        <v>146.13999999999999</v>
      </c>
    </row>
    <row r="19" spans="1:13" ht="15.75" x14ac:dyDescent="0.25">
      <c r="A19" s="61">
        <v>3</v>
      </c>
      <c r="B19" s="62" t="s">
        <v>14</v>
      </c>
      <c r="C19" s="55">
        <v>7</v>
      </c>
      <c r="D19" s="11">
        <v>21.945</v>
      </c>
      <c r="E19" s="11">
        <v>29.597999999999999</v>
      </c>
      <c r="F19" s="23">
        <v>31.391999999999999</v>
      </c>
      <c r="G19" s="23">
        <v>30.895</v>
      </c>
      <c r="H19" s="23">
        <v>24.951000000000001</v>
      </c>
      <c r="I19" s="23">
        <f>I14*0.0122</f>
        <v>24.010088</v>
      </c>
      <c r="J19" s="23">
        <f>J14*0.0122</f>
        <v>26.113050800000003</v>
      </c>
      <c r="K19" s="11">
        <f>K14*0.0122</f>
        <v>25.264601800000005</v>
      </c>
      <c r="L19" s="11">
        <f>ROUND(L13*1.94%,2)</f>
        <v>30.44</v>
      </c>
      <c r="M19" s="44">
        <f>ROUND(M14*1.22%,2)</f>
        <v>26.3</v>
      </c>
    </row>
    <row r="20" spans="1:13" ht="15.75" x14ac:dyDescent="0.25">
      <c r="A20" s="61">
        <v>4</v>
      </c>
      <c r="B20" s="62" t="s">
        <v>15</v>
      </c>
      <c r="C20" s="55">
        <v>8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45">
        <v>0</v>
      </c>
    </row>
    <row r="21" spans="1:13" ht="15.75" x14ac:dyDescent="0.25">
      <c r="A21" s="61">
        <v>5</v>
      </c>
      <c r="B21" s="62" t="s">
        <v>16</v>
      </c>
      <c r="C21" s="55">
        <v>9</v>
      </c>
      <c r="D21" s="15">
        <v>1033.7249999999999</v>
      </c>
      <c r="E21" s="15">
        <f t="shared" ref="E21:K21" si="0">E14-E18-E19</f>
        <v>1394.4090000000001</v>
      </c>
      <c r="F21" s="15">
        <f t="shared" si="0"/>
        <v>1478.9559999999999</v>
      </c>
      <c r="G21" s="15">
        <f t="shared" si="0"/>
        <v>1455.5950000000003</v>
      </c>
      <c r="H21" s="15">
        <f t="shared" si="0"/>
        <v>1656.0309999999997</v>
      </c>
      <c r="I21" s="15">
        <f t="shared" si="0"/>
        <v>1810.5968</v>
      </c>
      <c r="J21" s="15">
        <f t="shared" si="0"/>
        <v>1969.1808800000001</v>
      </c>
      <c r="K21" s="15">
        <f t="shared" si="0"/>
        <v>1905.1994800000002</v>
      </c>
      <c r="L21" s="15">
        <f>L13-L18-L19</f>
        <v>1434.06</v>
      </c>
      <c r="M21" s="43">
        <f>M14-M18-M19</f>
        <v>1982.9710000000002</v>
      </c>
    </row>
    <row r="22" spans="1:13" ht="15.75" x14ac:dyDescent="0.25">
      <c r="A22" s="61" t="s">
        <v>21</v>
      </c>
      <c r="B22" s="62" t="s">
        <v>39</v>
      </c>
      <c r="C22" s="55">
        <v>10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45">
        <v>0</v>
      </c>
    </row>
    <row r="23" spans="1:13" ht="15.75" x14ac:dyDescent="0.25">
      <c r="A23" s="61">
        <v>6</v>
      </c>
      <c r="B23" s="62" t="s">
        <v>56</v>
      </c>
      <c r="C23" s="55">
        <v>11</v>
      </c>
      <c r="D23" s="15">
        <v>30.76</v>
      </c>
      <c r="E23" s="15">
        <f>E24+E25</f>
        <v>82.078000000000003</v>
      </c>
      <c r="F23" s="15">
        <f>F24+F25</f>
        <v>87.055000000000007</v>
      </c>
      <c r="G23" s="24">
        <f>G24+G25</f>
        <v>85.679000000000002</v>
      </c>
      <c r="H23" s="15">
        <v>89.694999999999993</v>
      </c>
      <c r="I23" s="15">
        <f>I24+I25</f>
        <v>95.570888000000011</v>
      </c>
      <c r="J23" s="15">
        <f>J24+J25</f>
        <v>103.93993079999998</v>
      </c>
      <c r="K23" s="15">
        <f>K24+K25</f>
        <v>98.924081799999996</v>
      </c>
      <c r="L23" s="15">
        <f>ROUND(L13*5.38%,2)</f>
        <v>84.41</v>
      </c>
      <c r="M23" s="46">
        <f>M24+M25</f>
        <v>104.753</v>
      </c>
    </row>
    <row r="24" spans="1:13" ht="15.75" x14ac:dyDescent="0.25">
      <c r="A24" s="61" t="s">
        <v>22</v>
      </c>
      <c r="B24" s="62" t="s">
        <v>17</v>
      </c>
      <c r="C24" s="55">
        <v>12</v>
      </c>
      <c r="D24" s="15">
        <f>D23</f>
        <v>30.76</v>
      </c>
      <c r="E24" s="15">
        <f>ROUND(E13*2.72%,3)</f>
        <v>41.497</v>
      </c>
      <c r="F24" s="15">
        <f>ROUND(F13*2.72%,3)</f>
        <v>44.012999999999998</v>
      </c>
      <c r="G24" s="24">
        <f>ROUND(G13*2.72%,3)</f>
        <v>43.317</v>
      </c>
      <c r="H24" s="15">
        <f>H23-H25</f>
        <v>23.647999999999996</v>
      </c>
      <c r="I24" s="15">
        <f>151.107-I18</f>
        <v>17.673888000000005</v>
      </c>
      <c r="J24" s="15">
        <f>164.34-J18</f>
        <v>19.219930799999986</v>
      </c>
      <c r="K24" s="15">
        <f>157.363-K18</f>
        <v>16.958081800000002</v>
      </c>
      <c r="L24" s="15">
        <f>ROUND(L13*2.72%,2)</f>
        <v>42.68</v>
      </c>
      <c r="M24" s="46">
        <f>ROUND(M14*0.9%,3)</f>
        <v>19.399000000000001</v>
      </c>
    </row>
    <row r="25" spans="1:13" ht="15.75" x14ac:dyDescent="0.25">
      <c r="A25" s="61" t="s">
        <v>23</v>
      </c>
      <c r="B25" s="62" t="s">
        <v>18</v>
      </c>
      <c r="C25" s="55">
        <v>13</v>
      </c>
      <c r="D25" s="12">
        <v>0</v>
      </c>
      <c r="E25" s="15">
        <f>ROUND(E13*2.66%,3)</f>
        <v>40.581000000000003</v>
      </c>
      <c r="F25" s="15">
        <f>ROUND(F13*2.66%,3)</f>
        <v>43.042000000000002</v>
      </c>
      <c r="G25" s="24">
        <f>ROUND(G13*2.66%,3)</f>
        <v>42.362000000000002</v>
      </c>
      <c r="H25" s="15">
        <v>66.046999999999997</v>
      </c>
      <c r="I25" s="15">
        <v>77.897000000000006</v>
      </c>
      <c r="J25" s="15">
        <v>84.72</v>
      </c>
      <c r="K25" s="15">
        <v>81.965999999999994</v>
      </c>
      <c r="L25" s="15">
        <f>L23-L24</f>
        <v>41.73</v>
      </c>
      <c r="M25" s="46">
        <f>ROUND(M14*3.96%,3)</f>
        <v>85.353999999999999</v>
      </c>
    </row>
    <row r="26" spans="1:13" ht="15.75" x14ac:dyDescent="0.25">
      <c r="A26" s="66">
        <v>7</v>
      </c>
      <c r="B26" s="62" t="s">
        <v>19</v>
      </c>
      <c r="C26" s="55">
        <v>14</v>
      </c>
      <c r="D26" s="15">
        <v>63.222999999999999</v>
      </c>
      <c r="E26" s="15">
        <v>85.28</v>
      </c>
      <c r="F26" s="24">
        <v>90.451999999999998</v>
      </c>
      <c r="G26" s="24">
        <v>89.027000000000001</v>
      </c>
      <c r="H26" s="15">
        <v>116.592</v>
      </c>
      <c r="I26" s="15">
        <f>157.98-I19</f>
        <v>133.96991199999999</v>
      </c>
      <c r="J26" s="15">
        <f>171.345-J19</f>
        <v>145.2319492</v>
      </c>
      <c r="K26" s="15">
        <v>141.369</v>
      </c>
      <c r="L26" s="15">
        <f>ROUND(L13*5.59%,2)</f>
        <v>87.71</v>
      </c>
      <c r="M26" s="43">
        <f>ROUND(M14*6.63%,2)</f>
        <v>142.9</v>
      </c>
    </row>
    <row r="27" spans="1:13" ht="15.75" x14ac:dyDescent="0.25">
      <c r="A27" s="66">
        <v>8</v>
      </c>
      <c r="B27" s="62" t="s">
        <v>40</v>
      </c>
      <c r="C27" s="55">
        <v>15</v>
      </c>
      <c r="D27" s="15">
        <v>96.623000000000005</v>
      </c>
      <c r="E27" s="15">
        <f t="shared" ref="E27:L27" si="1">E28+E29+E30</f>
        <v>92.281000000000006</v>
      </c>
      <c r="F27" s="15">
        <f t="shared" si="1"/>
        <v>81.722999999999999</v>
      </c>
      <c r="G27" s="24">
        <f t="shared" si="1"/>
        <v>78.034000000000006</v>
      </c>
      <c r="H27" s="15">
        <f t="shared" si="1"/>
        <v>74.95</v>
      </c>
      <c r="I27" s="15">
        <f t="shared" si="1"/>
        <v>92.859000000000009</v>
      </c>
      <c r="J27" s="15">
        <f>J28+J29+J30</f>
        <v>87.619</v>
      </c>
      <c r="K27" s="15">
        <f>K28+K29+K30</f>
        <v>80.477999999999994</v>
      </c>
      <c r="L27" s="15">
        <f t="shared" si="1"/>
        <v>128.28</v>
      </c>
      <c r="M27" s="43">
        <f>M28+M29+M30</f>
        <v>95.710999999999999</v>
      </c>
    </row>
    <row r="28" spans="1:13" ht="15.75" x14ac:dyDescent="0.25">
      <c r="A28" s="74" t="s">
        <v>30</v>
      </c>
      <c r="B28" s="62" t="s">
        <v>25</v>
      </c>
      <c r="C28" s="55">
        <v>16</v>
      </c>
      <c r="D28" s="15">
        <v>0</v>
      </c>
      <c r="E28" s="15">
        <v>0</v>
      </c>
      <c r="F28" s="15">
        <v>0</v>
      </c>
      <c r="G28" s="24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43">
        <v>0</v>
      </c>
    </row>
    <row r="29" spans="1:13" ht="15.75" x14ac:dyDescent="0.25">
      <c r="A29" s="64" t="s">
        <v>31</v>
      </c>
      <c r="B29" s="65" t="s">
        <v>28</v>
      </c>
      <c r="C29" s="60">
        <v>17</v>
      </c>
      <c r="D29" s="9">
        <v>0.81399999999999995</v>
      </c>
      <c r="E29" s="9">
        <v>0.83399999999999996</v>
      </c>
      <c r="F29" s="24">
        <v>0.879</v>
      </c>
      <c r="G29" s="24">
        <v>0.86599999999999999</v>
      </c>
      <c r="H29" s="24">
        <v>1.39</v>
      </c>
      <c r="I29" s="24">
        <f>'[2]4-НКП Зведена '!$X$47</f>
        <v>0.79899999999999971</v>
      </c>
      <c r="J29" s="24">
        <v>0.76100000000000001</v>
      </c>
      <c r="K29" s="54">
        <v>0.67200000000000004</v>
      </c>
      <c r="L29" s="11">
        <v>0.85</v>
      </c>
      <c r="M29" s="44">
        <v>0.68</v>
      </c>
    </row>
    <row r="30" spans="1:13" ht="15.75" x14ac:dyDescent="0.25">
      <c r="A30" s="64" t="s">
        <v>32</v>
      </c>
      <c r="B30" s="65" t="s">
        <v>29</v>
      </c>
      <c r="C30" s="60">
        <v>18</v>
      </c>
      <c r="D30" s="9">
        <v>95.808999999999997</v>
      </c>
      <c r="E30" s="9">
        <f>91.269+0.178</f>
        <v>91.447000000000003</v>
      </c>
      <c r="F30" s="24">
        <f>0.889+79.955</f>
        <v>80.843999999999994</v>
      </c>
      <c r="G30" s="24">
        <v>77.168000000000006</v>
      </c>
      <c r="H30" s="9">
        <v>73.56</v>
      </c>
      <c r="I30" s="9">
        <f>'[2]4-НКП Зведена '!$X$48</f>
        <v>92.06</v>
      </c>
      <c r="J30" s="9">
        <f>87.619-0.761</f>
        <v>86.858000000000004</v>
      </c>
      <c r="K30" s="15">
        <v>79.805999999999997</v>
      </c>
      <c r="L30" s="11">
        <f>2.136+125.294</f>
        <v>127.42999999999999</v>
      </c>
      <c r="M30" s="44">
        <f>95.711-M29</f>
        <v>95.030999999999992</v>
      </c>
    </row>
    <row r="31" spans="1:13" ht="15.75" x14ac:dyDescent="0.25">
      <c r="A31" s="67">
        <v>9</v>
      </c>
      <c r="B31" s="65" t="s">
        <v>20</v>
      </c>
      <c r="C31" s="55">
        <v>19</v>
      </c>
      <c r="D31" s="10">
        <v>5276.9279999999999</v>
      </c>
      <c r="E31" s="10">
        <v>5675.3379999999997</v>
      </c>
      <c r="F31" s="10">
        <v>5551.2340000000004</v>
      </c>
      <c r="G31" s="10">
        <v>5604.0339999999997</v>
      </c>
      <c r="H31" s="10">
        <v>5946.0150000000003</v>
      </c>
      <c r="I31" s="10">
        <v>5471.4959999999992</v>
      </c>
      <c r="J31" s="14">
        <v>5229.1660000000002</v>
      </c>
      <c r="K31" s="14">
        <v>6140.9189999999999</v>
      </c>
      <c r="L31" s="14">
        <f>L32</f>
        <v>5986.1880000000001</v>
      </c>
      <c r="M31" s="14">
        <f>M32</f>
        <v>5428.6358105216505</v>
      </c>
    </row>
    <row r="32" spans="1:13" ht="15.75" x14ac:dyDescent="0.25">
      <c r="A32" s="64" t="s">
        <v>24</v>
      </c>
      <c r="B32" s="65" t="s">
        <v>41</v>
      </c>
      <c r="C32" s="60">
        <v>20</v>
      </c>
      <c r="D32" s="9">
        <f>D31</f>
        <v>5276.9279999999999</v>
      </c>
      <c r="E32" s="9">
        <f>E31</f>
        <v>5675.3379999999997</v>
      </c>
      <c r="F32" s="9">
        <f>F31</f>
        <v>5551.2340000000004</v>
      </c>
      <c r="G32" s="9">
        <f>G31</f>
        <v>5604.0339999999997</v>
      </c>
      <c r="H32" s="9">
        <f>H31</f>
        <v>5946.0150000000003</v>
      </c>
      <c r="I32" s="9">
        <v>5471.4960000000001</v>
      </c>
      <c r="J32" s="15">
        <f>J31</f>
        <v>5229.1660000000002</v>
      </c>
      <c r="K32" s="15">
        <f>K31</f>
        <v>6140.9189999999999</v>
      </c>
      <c r="L32" s="11">
        <v>5986.1880000000001</v>
      </c>
      <c r="M32" s="11">
        <v>5428.6358105216505</v>
      </c>
    </row>
    <row r="33" spans="1:15" ht="31.5" x14ac:dyDescent="0.25">
      <c r="A33" s="67">
        <v>10</v>
      </c>
      <c r="B33" s="65" t="s">
        <v>42</v>
      </c>
      <c r="C33" s="60">
        <v>21</v>
      </c>
      <c r="D33" s="9">
        <f t="shared" ref="D33:M33" si="2">D35+D36</f>
        <v>4436.3950000000004</v>
      </c>
      <c r="E33" s="9">
        <f t="shared" si="2"/>
        <v>4542.8330000000005</v>
      </c>
      <c r="F33" s="9">
        <f t="shared" si="2"/>
        <v>4725.3490000000002</v>
      </c>
      <c r="G33" s="9">
        <f t="shared" si="2"/>
        <v>4787.3539999999994</v>
      </c>
      <c r="H33" s="9">
        <f t="shared" si="2"/>
        <v>4784.9629999999997</v>
      </c>
      <c r="I33" s="9">
        <f t="shared" si="2"/>
        <v>4406.7379999999994</v>
      </c>
      <c r="J33" s="15">
        <f t="shared" si="2"/>
        <v>4059.3980000000001</v>
      </c>
      <c r="K33" s="15">
        <f t="shared" si="2"/>
        <v>5016.43</v>
      </c>
      <c r="L33" s="11">
        <f t="shared" si="2"/>
        <v>4579.1459999999997</v>
      </c>
      <c r="M33" s="11">
        <f t="shared" si="2"/>
        <v>4289.41</v>
      </c>
      <c r="O33" s="30"/>
    </row>
    <row r="34" spans="1:15" ht="15.75" x14ac:dyDescent="0.25">
      <c r="A34" s="61" t="s">
        <v>26</v>
      </c>
      <c r="B34" s="62" t="s">
        <v>25</v>
      </c>
      <c r="C34" s="55">
        <v>22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</row>
    <row r="35" spans="1:15" ht="15.75" x14ac:dyDescent="0.25">
      <c r="A35" s="64" t="s">
        <v>33</v>
      </c>
      <c r="B35" s="65" t="s">
        <v>28</v>
      </c>
      <c r="C35" s="60">
        <v>23</v>
      </c>
      <c r="D35" s="9">
        <v>4352.71</v>
      </c>
      <c r="E35" s="9">
        <v>4463.6880000000001</v>
      </c>
      <c r="F35" s="9">
        <v>4659.2449999999999</v>
      </c>
      <c r="G35" s="9">
        <v>4726.0079999999998</v>
      </c>
      <c r="H35" s="9">
        <v>4715.8389999999999</v>
      </c>
      <c r="I35" s="9">
        <v>4322.3359999999993</v>
      </c>
      <c r="J35" s="15">
        <v>3979.8</v>
      </c>
      <c r="K35" s="15">
        <v>4945.0590000000002</v>
      </c>
      <c r="L35" s="11">
        <v>4465</v>
      </c>
      <c r="M35" s="11">
        <v>4200</v>
      </c>
      <c r="O35" s="30"/>
    </row>
    <row r="36" spans="1:15" ht="15.75" x14ac:dyDescent="0.25">
      <c r="A36" s="64" t="s">
        <v>34</v>
      </c>
      <c r="B36" s="65" t="s">
        <v>29</v>
      </c>
      <c r="C36" s="60">
        <v>24</v>
      </c>
      <c r="D36" s="9">
        <f>83.141+0.544</f>
        <v>83.685000000000002</v>
      </c>
      <c r="E36" s="9">
        <f>78.821+0.324</f>
        <v>79.144999999999996</v>
      </c>
      <c r="F36" s="9">
        <v>66.103999999999999</v>
      </c>
      <c r="G36" s="9">
        <v>61.345999999999997</v>
      </c>
      <c r="H36" s="9">
        <v>69.123999999999995</v>
      </c>
      <c r="I36" s="9">
        <v>84.402000000000044</v>
      </c>
      <c r="J36" s="15">
        <v>79.597999999999999</v>
      </c>
      <c r="K36" s="15">
        <v>71.370999999999995</v>
      </c>
      <c r="L36" s="11">
        <f>113.546+0.6</f>
        <v>114.146</v>
      </c>
      <c r="M36" s="11">
        <v>89.41</v>
      </c>
      <c r="O36" s="30"/>
    </row>
    <row r="37" spans="1:15" ht="21.75" customHeight="1" x14ac:dyDescent="0.25">
      <c r="A37" s="73"/>
      <c r="B37" s="19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O37" s="30"/>
    </row>
    <row r="38" spans="1:15" ht="18.75" x14ac:dyDescent="0.3">
      <c r="A38" s="87" t="s">
        <v>60</v>
      </c>
      <c r="B38" s="87"/>
      <c r="C38" s="68"/>
      <c r="D38" s="68"/>
      <c r="E38" s="68"/>
      <c r="F38" s="69"/>
      <c r="G38" s="70"/>
      <c r="H38" s="2"/>
      <c r="I38" s="2"/>
      <c r="J38" s="102" t="s">
        <v>48</v>
      </c>
      <c r="K38" s="102"/>
      <c r="L38" s="102"/>
      <c r="M38" s="102"/>
      <c r="N38" s="68"/>
    </row>
    <row r="39" spans="1:15" ht="15.75" x14ac:dyDescent="0.25">
      <c r="A39" s="84"/>
      <c r="B39" s="84"/>
      <c r="C39" s="83"/>
      <c r="D39" s="83"/>
      <c r="E39" s="83"/>
      <c r="F39" s="19"/>
      <c r="G39" s="21"/>
      <c r="H39" s="84"/>
      <c r="I39" s="84"/>
      <c r="J39" s="84"/>
      <c r="K39" s="84"/>
      <c r="L39" s="84"/>
      <c r="M39" s="84"/>
    </row>
    <row r="40" spans="1:15" ht="15.75" x14ac:dyDescent="0.25">
      <c r="A40" s="83" t="s">
        <v>51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</row>
    <row r="41" spans="1:15" ht="15.75" x14ac:dyDescent="0.25">
      <c r="I41" s="32"/>
      <c r="J41" s="32"/>
      <c r="K41" s="32"/>
      <c r="L41" s="33"/>
      <c r="M41" s="34"/>
      <c r="N41" s="35"/>
    </row>
    <row r="42" spans="1:15" ht="15.75" x14ac:dyDescent="0.25">
      <c r="I42" s="36"/>
      <c r="J42" s="36"/>
      <c r="K42" s="36"/>
      <c r="L42" s="37"/>
      <c r="M42" s="38"/>
      <c r="N42" s="35"/>
    </row>
    <row r="43" spans="1:15" ht="15.75" x14ac:dyDescent="0.25">
      <c r="B43" s="8"/>
      <c r="I43" s="36"/>
      <c r="J43" s="36"/>
      <c r="K43" s="36"/>
      <c r="L43" s="37"/>
      <c r="M43" s="38"/>
      <c r="N43" s="35"/>
    </row>
    <row r="44" spans="1:15" ht="15.75" x14ac:dyDescent="0.25">
      <c r="I44" s="39"/>
      <c r="J44" s="39"/>
      <c r="K44" s="39"/>
      <c r="L44" s="40"/>
      <c r="M44" s="41"/>
      <c r="N44" s="35"/>
    </row>
    <row r="45" spans="1:15" ht="15.75" x14ac:dyDescent="0.25">
      <c r="I45" s="36"/>
      <c r="J45" s="36"/>
      <c r="K45" s="36"/>
      <c r="L45" s="37"/>
      <c r="M45" s="38"/>
      <c r="N45" s="35"/>
    </row>
    <row r="46" spans="1:15" ht="15.75" x14ac:dyDescent="0.25">
      <c r="I46" s="36"/>
      <c r="J46" s="36"/>
      <c r="K46" s="36"/>
      <c r="L46" s="37"/>
      <c r="M46" s="38"/>
      <c r="N46" s="35"/>
    </row>
    <row r="47" spans="1:15" x14ac:dyDescent="0.25">
      <c r="I47" s="16"/>
      <c r="J47" s="16"/>
      <c r="L47" s="42"/>
      <c r="N47" s="35"/>
    </row>
  </sheetData>
  <dataConsolidate/>
  <mergeCells count="15">
    <mergeCell ref="A6:M6"/>
    <mergeCell ref="A7:M7"/>
    <mergeCell ref="A9:A11"/>
    <mergeCell ref="B9:B11"/>
    <mergeCell ref="C9:C11"/>
    <mergeCell ref="D9:M9"/>
    <mergeCell ref="D10:K10"/>
    <mergeCell ref="L10:L11"/>
    <mergeCell ref="M10:M11"/>
    <mergeCell ref="A40:M40"/>
    <mergeCell ref="A38:B38"/>
    <mergeCell ref="J38:M38"/>
    <mergeCell ref="A39:B39"/>
    <mergeCell ref="C39:E39"/>
    <mergeCell ref="H39:M39"/>
  </mergeCells>
  <printOptions horizontalCentered="1"/>
  <pageMargins left="0.39370078740157483" right="0.39370078740157483" top="0.78740157480314965" bottom="0.39370078740157483" header="0" footer="0"/>
  <pageSetup paperSize="9" scale="74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2025</vt:lpstr>
      <vt:lpstr>Річний план 2024</vt:lpstr>
      <vt:lpstr>'2025'!Область_печати</vt:lpstr>
      <vt:lpstr>'Річний план 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2024-10-14T11:02:58Z</dcterms:modified>
</cp:coreProperties>
</file>