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10770"/>
  </bookViews>
  <sheets>
    <sheet name="Річний план 2024" sheetId="7" r:id="rId1"/>
  </sheets>
  <externalReferences>
    <externalReference r:id="rId2"/>
  </externalReferences>
  <definedNames>
    <definedName name="Excel_BuiltIn_Print_Area_2" localSheetId="0">#REF!</definedName>
    <definedName name="Excel_BuiltIn_Print_Area_2">#REF!</definedName>
    <definedName name="Excel_BuiltIn_Print_Area_4" localSheetId="0">#REF!</definedName>
    <definedName name="Excel_BuiltIn_Print_Area_4">#REF!</definedName>
    <definedName name="Excel_BuiltIn_Print_Titles_2" localSheetId="0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_xlnm.Print_Area" localSheetId="0">'Річний план 2024'!$A$1:$M$40</definedName>
  </definedNames>
  <calcPr calcId="152511"/>
</workbook>
</file>

<file path=xl/calcChain.xml><?xml version="1.0" encoding="utf-8"?>
<calcChain xmlns="http://schemas.openxmlformats.org/spreadsheetml/2006/main">
  <c r="I13" i="7" l="1"/>
  <c r="J13" i="7"/>
  <c r="K13" i="7"/>
  <c r="M13" i="7"/>
  <c r="D14" i="7"/>
  <c r="E14" i="7"/>
  <c r="E21" i="7"/>
  <c r="F14" i="7"/>
  <c r="G14" i="7"/>
  <c r="H14" i="7"/>
  <c r="H21" i="7"/>
  <c r="I18" i="7"/>
  <c r="J18" i="7"/>
  <c r="K18" i="7"/>
  <c r="K21" i="7"/>
  <c r="L18" i="7"/>
  <c r="L21" i="7"/>
  <c r="M18" i="7"/>
  <c r="I19" i="7"/>
  <c r="J19" i="7"/>
  <c r="K19" i="7"/>
  <c r="L19" i="7"/>
  <c r="M19" i="7"/>
  <c r="F21" i="7"/>
  <c r="G21" i="7"/>
  <c r="I21" i="7"/>
  <c r="J21" i="7"/>
  <c r="M21" i="7"/>
  <c r="E23" i="7"/>
  <c r="I23" i="7"/>
  <c r="J23" i="7"/>
  <c r="L23" i="7"/>
  <c r="M23" i="7"/>
  <c r="D24" i="7"/>
  <c r="E24" i="7"/>
  <c r="F24" i="7"/>
  <c r="G24" i="7"/>
  <c r="G23" i="7"/>
  <c r="H24" i="7"/>
  <c r="I24" i="7"/>
  <c r="J24" i="7"/>
  <c r="K24" i="7"/>
  <c r="K23" i="7"/>
  <c r="L24" i="7"/>
  <c r="L25" i="7"/>
  <c r="M24" i="7"/>
  <c r="E25" i="7"/>
  <c r="F25" i="7"/>
  <c r="F23" i="7"/>
  <c r="G25" i="7"/>
  <c r="M25" i="7"/>
  <c r="I26" i="7"/>
  <c r="J26" i="7"/>
  <c r="L26" i="7"/>
  <c r="M26" i="7"/>
  <c r="E27" i="7"/>
  <c r="F27" i="7"/>
  <c r="G27" i="7"/>
  <c r="H27" i="7"/>
  <c r="K27" i="7"/>
  <c r="M27" i="7"/>
  <c r="I29" i="7"/>
  <c r="I27" i="7"/>
  <c r="E30" i="7"/>
  <c r="F30" i="7"/>
  <c r="I30" i="7"/>
  <c r="J30" i="7"/>
  <c r="J27" i="7"/>
  <c r="L30" i="7"/>
  <c r="L27" i="7"/>
  <c r="M30" i="7"/>
  <c r="L31" i="7"/>
  <c r="D32" i="7"/>
  <c r="E32" i="7"/>
  <c r="F32" i="7"/>
  <c r="G32" i="7"/>
  <c r="H32" i="7"/>
  <c r="J32" i="7"/>
  <c r="K32" i="7"/>
  <c r="M31" i="7"/>
  <c r="F33" i="7"/>
  <c r="G33" i="7"/>
  <c r="H33" i="7"/>
  <c r="I33" i="7"/>
  <c r="J33" i="7"/>
  <c r="K33" i="7"/>
  <c r="M33" i="7"/>
  <c r="D36" i="7"/>
  <c r="D33" i="7"/>
  <c r="E36" i="7"/>
  <c r="E33" i="7"/>
  <c r="L36" i="7"/>
  <c r="L33" i="7"/>
  <c r="L14" i="7"/>
</calcChain>
</file>

<file path=xl/sharedStrings.xml><?xml version="1.0" encoding="utf-8"?>
<sst xmlns="http://schemas.openxmlformats.org/spreadsheetml/2006/main" count="65" uniqueCount="62">
  <si>
    <t>№ з/п</t>
  </si>
  <si>
    <t>Код рядка</t>
  </si>
  <si>
    <t>А</t>
  </si>
  <si>
    <t>Б</t>
  </si>
  <si>
    <t>В</t>
  </si>
  <si>
    <t>покупна вода</t>
  </si>
  <si>
    <t>1.2</t>
  </si>
  <si>
    <t>1.3</t>
  </si>
  <si>
    <t>1.1</t>
  </si>
  <si>
    <t>Показники</t>
  </si>
  <si>
    <t>фактично</t>
  </si>
  <si>
    <t>підземний водозабір</t>
  </si>
  <si>
    <t>покупна вода в природному стані</t>
  </si>
  <si>
    <t>Витрати води технологічні до ІІ підйому</t>
  </si>
  <si>
    <t>Втрати води технологічні до ІІ підйому</t>
  </si>
  <si>
    <t>Обсяг реалізації води до ІІ підйому</t>
  </si>
  <si>
    <t>Подано води в мережу (ІІ підйом), усього</t>
  </si>
  <si>
    <t>водопровідного господарства</t>
  </si>
  <si>
    <t>каналізаційного господарства</t>
  </si>
  <si>
    <t>Втрати та необліковані витрати питної води після ІІ підйому</t>
  </si>
  <si>
    <t>Обсяг пропуску стічних вод через очисні споруди, усього</t>
  </si>
  <si>
    <t>5.1</t>
  </si>
  <si>
    <t>6.1</t>
  </si>
  <si>
    <t>6.2</t>
  </si>
  <si>
    <t>9.1</t>
  </si>
  <si>
    <t>населенню</t>
  </si>
  <si>
    <t>10.1</t>
  </si>
  <si>
    <t>поверхневий водозабір</t>
  </si>
  <si>
    <t>іншим ВКГ</t>
  </si>
  <si>
    <t>іншим споживачам</t>
  </si>
  <si>
    <t>8.1</t>
  </si>
  <si>
    <t>8.2</t>
  </si>
  <si>
    <t>8.3</t>
  </si>
  <si>
    <t>10.2</t>
  </si>
  <si>
    <t>10.3</t>
  </si>
  <si>
    <t>передбачено чинним тарифом</t>
  </si>
  <si>
    <t>Значення, тис. куб. м.</t>
  </si>
  <si>
    <t>РІЧНИЙ    ПЛАН</t>
  </si>
  <si>
    <t>Обсяг І підйому води, усього, зокрема:</t>
  </si>
  <si>
    <t>зокрема: покупна питна вода</t>
  </si>
  <si>
    <t>Обсяг реалізації послуг централізованого водопостачання, зокрема:</t>
  </si>
  <si>
    <t>зокрема: біологічна очистка стоків</t>
  </si>
  <si>
    <t>Обсяг реалізації послуг з централізованого водовідведення, усього, зокрема:</t>
  </si>
  <si>
    <t>2017 рік</t>
  </si>
  <si>
    <t>2018 рік</t>
  </si>
  <si>
    <r>
      <t xml:space="preserve"> </t>
    </r>
    <r>
      <rPr>
        <b/>
        <sz val="10"/>
        <rFont val="Times New Roman"/>
        <family val="1"/>
        <charset val="204"/>
      </rPr>
      <t>2016 рік</t>
    </r>
  </si>
  <si>
    <t>2021 рік</t>
  </si>
  <si>
    <t xml:space="preserve"> 2019 рік</t>
  </si>
  <si>
    <t>Оленюк В.Я.</t>
  </si>
  <si>
    <t>2022 рік</t>
  </si>
  <si>
    <t>«____» ________________ 2024 р.</t>
  </si>
  <si>
    <r>
      <t xml:space="preserve"> 2020 рік</t>
    </r>
    <r>
      <rPr>
        <sz val="12"/>
        <rFont val="Times New Roman"/>
        <family val="1"/>
        <charset val="204"/>
      </rPr>
      <t xml:space="preserve"> </t>
    </r>
  </si>
  <si>
    <t>1.4</t>
  </si>
  <si>
    <r>
      <t xml:space="preserve">плановий період
</t>
    </r>
    <r>
      <rPr>
        <b/>
        <sz val="12"/>
        <rFont val="Times New Roman"/>
        <family val="1"/>
        <charset val="204"/>
      </rPr>
      <t>2024 рік</t>
    </r>
  </si>
  <si>
    <r>
      <t xml:space="preserve">базовий  період
</t>
    </r>
    <r>
      <rPr>
        <b/>
        <sz val="12"/>
        <rFont val="Times New Roman"/>
        <family val="1"/>
        <charset val="204"/>
      </rPr>
      <t>2023 рік</t>
    </r>
  </si>
  <si>
    <t>Витрати питної води після ІІ підйому, усього, зокрема на потреби: </t>
  </si>
  <si>
    <t>Рішення виконавчого комітету</t>
  </si>
  <si>
    <t>Калуської міської ради</t>
  </si>
  <si>
    <t>Перший заступник генерального директора - головний інженер</t>
  </si>
  <si>
    <t>надання послуг з централізованого водопостачання та централізованого водовідведення ТОВ "КАРПАТНАФТОХІМ"
на 2024 рік</t>
  </si>
  <si>
    <t>27.02.2024 №33</t>
  </si>
  <si>
    <t>ПОГОДЖЕНО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</si>
</sst>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00"/>
    <numFmt numFmtId="166" formatCode="_-* #,##0.000_₴_-;\-* #,##0.000_₴_-;_-* &quot;-&quot;??_₴_-;_-@_-"/>
    <numFmt numFmtId="167" formatCode="_-* #,##0.00\ _г_р_н_._-;\-* #,##0.00\ _г_р_н_._-;_-* &quot;-&quot;??\ _г_р_н_._-;_-@_-"/>
  </numFmts>
  <fonts count="29" x14ac:knownFonts="1"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1"/>
      <color indexed="8"/>
      <name val="Calibri"/>
      <family val="2"/>
    </font>
    <font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 CYR"/>
    </font>
    <font>
      <sz val="14"/>
      <name val="Times New Roman CYR"/>
    </font>
    <font>
      <sz val="14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8">
    <xf numFmtId="0" fontId="0" fillId="0" borderId="0"/>
    <xf numFmtId="0" fontId="3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23" fillId="0" borderId="0"/>
    <xf numFmtId="0" fontId="18" fillId="0" borderId="0"/>
    <xf numFmtId="0" fontId="18" fillId="0" borderId="0"/>
    <xf numFmtId="0" fontId="22" fillId="0" borderId="0"/>
    <xf numFmtId="0" fontId="18" fillId="0" borderId="0"/>
    <xf numFmtId="0" fontId="18" fillId="0" borderId="0"/>
    <xf numFmtId="0" fontId="22" fillId="2" borderId="8" applyNumberFormat="0" applyFont="0" applyAlignment="0" applyProtection="0"/>
    <xf numFmtId="9" fontId="3" fillId="0" borderId="0" applyFont="0" applyFill="0" applyBorder="0" applyAlignment="0" applyProtection="0"/>
    <xf numFmtId="9" fontId="4" fillId="0" borderId="0" applyFill="0" applyBorder="0" applyAlignment="0" applyProtection="0"/>
    <xf numFmtId="164" fontId="2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 applyAlignment="1">
      <alignment horizontal="left"/>
    </xf>
    <xf numFmtId="0" fontId="0" fillId="0" borderId="0" xfId="0" applyBorder="1"/>
    <xf numFmtId="49" fontId="0" fillId="0" borderId="0" xfId="0" applyNumberFormat="1" applyBorder="1"/>
    <xf numFmtId="0" fontId="0" fillId="0" borderId="0" xfId="0" applyBorder="1" applyAlignment="1">
      <alignment horizontal="left" indent="15"/>
    </xf>
    <xf numFmtId="49" fontId="6" fillId="0" borderId="0" xfId="0" applyNumberFormat="1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justify"/>
    </xf>
    <xf numFmtId="165" fontId="9" fillId="0" borderId="1" xfId="15" applyNumberFormat="1" applyFont="1" applyBorder="1" applyAlignment="1">
      <alignment horizontal="right" vertical="center" wrapText="1"/>
    </xf>
    <xf numFmtId="165" fontId="12" fillId="0" borderId="1" xfId="15" applyNumberFormat="1" applyFont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12" fillId="3" borderId="1" xfId="15" applyNumberFormat="1" applyFont="1" applyFill="1" applyBorder="1" applyAlignment="1">
      <alignment horizontal="right" vertical="center" wrapText="1"/>
    </xf>
    <xf numFmtId="165" fontId="9" fillId="3" borderId="1" xfId="15" applyNumberFormat="1" applyFont="1" applyFill="1" applyBorder="1" applyAlignment="1">
      <alignment horizontal="right" vertical="center" wrapText="1"/>
    </xf>
    <xf numFmtId="0" fontId="24" fillId="3" borderId="0" xfId="0" applyFont="1" applyFill="1" applyBorder="1" applyAlignment="1">
      <alignment horizontal="right"/>
    </xf>
    <xf numFmtId="0" fontId="10" fillId="3" borderId="1" xfId="0" applyFont="1" applyFill="1" applyBorder="1" applyAlignment="1">
      <alignment horizontal="center" vertical="center" wrapText="1"/>
    </xf>
    <xf numFmtId="3" fontId="9" fillId="3" borderId="1" xfId="0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right"/>
    </xf>
    <xf numFmtId="0" fontId="25" fillId="0" borderId="0" xfId="0" applyFont="1" applyBorder="1" applyAlignment="1">
      <alignment vertical="center" wrapText="1"/>
    </xf>
    <xf numFmtId="0" fontId="24" fillId="0" borderId="0" xfId="0" applyFont="1" applyBorder="1"/>
    <xf numFmtId="165" fontId="9" fillId="0" borderId="1" xfId="0" applyNumberFormat="1" applyFont="1" applyFill="1" applyBorder="1" applyAlignment="1">
      <alignment horizontal="right" vertical="center" wrapText="1"/>
    </xf>
    <xf numFmtId="166" fontId="9" fillId="0" borderId="1" xfId="15" applyNumberFormat="1" applyFont="1" applyFill="1" applyBorder="1" applyAlignment="1">
      <alignment horizontal="right" vertical="center" wrapText="1"/>
    </xf>
    <xf numFmtId="0" fontId="8" fillId="0" borderId="0" xfId="0" applyFont="1" applyBorder="1"/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Border="1"/>
    <xf numFmtId="0" fontId="9" fillId="0" borderId="0" xfId="0" applyFont="1" applyBorder="1" applyAlignment="1">
      <alignment horizontal="left"/>
    </xf>
    <xf numFmtId="0" fontId="7" fillId="3" borderId="1" xfId="0" applyFont="1" applyFill="1" applyBorder="1" applyAlignment="1">
      <alignment horizontal="center" vertical="center" wrapText="1"/>
    </xf>
    <xf numFmtId="165" fontId="0" fillId="0" borderId="0" xfId="0" applyNumberFormat="1" applyBorder="1"/>
    <xf numFmtId="0" fontId="15" fillId="3" borderId="1" xfId="0" applyFont="1" applyFill="1" applyBorder="1" applyAlignment="1">
      <alignment horizontal="center" vertical="center" wrapText="1"/>
    </xf>
    <xf numFmtId="165" fontId="12" fillId="3" borderId="0" xfId="15" applyNumberFormat="1" applyFont="1" applyFill="1" applyBorder="1" applyAlignment="1">
      <alignment horizontal="right" vertical="center" wrapText="1"/>
    </xf>
    <xf numFmtId="165" fontId="16" fillId="3" borderId="0" xfId="15" applyNumberFormat="1" applyFont="1" applyFill="1" applyBorder="1" applyAlignment="1">
      <alignment horizontal="right" vertical="center" wrapText="1"/>
    </xf>
    <xf numFmtId="165" fontId="26" fillId="3" borderId="0" xfId="15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165" fontId="9" fillId="3" borderId="0" xfId="15" applyNumberFormat="1" applyFont="1" applyFill="1" applyBorder="1" applyAlignment="1">
      <alignment horizontal="right" vertical="center" wrapText="1"/>
    </xf>
    <xf numFmtId="165" fontId="17" fillId="3" borderId="0" xfId="0" applyNumberFormat="1" applyFont="1" applyFill="1" applyBorder="1" applyAlignment="1">
      <alignment horizontal="right" vertical="center" wrapText="1"/>
    </xf>
    <xf numFmtId="165" fontId="25" fillId="3" borderId="0" xfId="0" applyNumberFormat="1" applyFont="1" applyFill="1" applyBorder="1" applyAlignment="1">
      <alignment horizontal="right" vertical="center" wrapText="1"/>
    </xf>
    <xf numFmtId="3" fontId="9" fillId="3" borderId="0" xfId="0" applyNumberFormat="1" applyFont="1" applyFill="1" applyBorder="1" applyAlignment="1">
      <alignment horizontal="right" vertical="center" wrapText="1"/>
    </xf>
    <xf numFmtId="3" fontId="17" fillId="3" borderId="0" xfId="0" applyNumberFormat="1" applyFont="1" applyFill="1" applyBorder="1" applyAlignment="1">
      <alignment horizontal="right" vertical="center" wrapText="1"/>
    </xf>
    <xf numFmtId="3" fontId="25" fillId="3" borderId="0" xfId="0" applyNumberFormat="1" applyFont="1" applyFill="1" applyBorder="1" applyAlignment="1">
      <alignment horizontal="right" vertical="center" wrapText="1"/>
    </xf>
    <xf numFmtId="0" fontId="14" fillId="3" borderId="0" xfId="0" applyFont="1" applyFill="1" applyBorder="1"/>
    <xf numFmtId="165" fontId="27" fillId="3" borderId="1" xfId="15" applyNumberFormat="1" applyFont="1" applyFill="1" applyBorder="1" applyAlignment="1">
      <alignment horizontal="right" vertical="center" wrapText="1"/>
    </xf>
    <xf numFmtId="165" fontId="27" fillId="3" borderId="1" xfId="0" applyNumberFormat="1" applyFont="1" applyFill="1" applyBorder="1" applyAlignment="1">
      <alignment horizontal="right" vertical="center" wrapText="1"/>
    </xf>
    <xf numFmtId="3" fontId="27" fillId="3" borderId="1" xfId="0" applyNumberFormat="1" applyFont="1" applyFill="1" applyBorder="1" applyAlignment="1">
      <alignment horizontal="right" vertical="center" wrapText="1"/>
    </xf>
    <xf numFmtId="166" fontId="27" fillId="0" borderId="1" xfId="15" applyNumberFormat="1" applyFont="1" applyFill="1" applyBorder="1" applyAlignment="1">
      <alignment horizontal="right" vertical="center" wrapText="1"/>
    </xf>
    <xf numFmtId="0" fontId="10" fillId="0" borderId="0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18" fillId="0" borderId="0" xfId="4"/>
    <xf numFmtId="0" fontId="19" fillId="0" borderId="0" xfId="4" applyFont="1" applyFill="1" applyBorder="1" applyAlignment="1">
      <alignment horizontal="left"/>
    </xf>
    <xf numFmtId="0" fontId="20" fillId="0" borderId="0" xfId="4" applyFont="1" applyFill="1" applyAlignment="1">
      <alignment horizontal="left"/>
    </xf>
    <xf numFmtId="0" fontId="9" fillId="0" borderId="0" xfId="4" applyFont="1" applyFill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166" fontId="9" fillId="3" borderId="1" xfId="15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165" fontId="9" fillId="0" borderId="0" xfId="15" applyNumberFormat="1" applyFont="1" applyBorder="1" applyAlignment="1">
      <alignment horizontal="right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3" borderId="3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2" xfId="1"/>
    <cellStyle name="Обычный 2 2" xfId="2"/>
    <cellStyle name="Обычный 2 2 2" xfId="3"/>
    <cellStyle name="Обычный 2 2 3" xfId="4"/>
    <cellStyle name="Обычный 2 9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Обычный 6" xfId="11"/>
    <cellStyle name="Примечание 2" xfId="12"/>
    <cellStyle name="Процентный 2" xfId="13"/>
    <cellStyle name="Процентный 3" xfId="14"/>
    <cellStyle name="Финансовый" xfId="15" builtinId="3"/>
    <cellStyle name="Финансовый 2" xfId="16"/>
    <cellStyle name="Финансовый 3" xfId="1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6;%20&#1045;%20&#1047;%20&#1045;%20&#1056;%20&#1042;%20%20%20%20%20&#1060;%20&#1040;%20&#1049;%20&#1051;%20&#1030;%20&#1042;\&#1043;&#1045;&#1047;\&#1041;&#1072;&#1075;&#1080;&#1088;&#1072;\&#1051;&#1110;&#1094;&#1077;&#1085;&#1079;&#1110;&#1103;%20&#1074;&#1086;&#1076;&#1072;\2021\&#1047;&#1074;&#1110;&#1090;&#1085;&#1110;&#1089;&#1090;&#1100;\&#1092;&#1086;&#1088;&#1084;&#1072;%204%20&#1053;&#1050;&#1055;%20&#1079;&#1074;&#1077;&#1076;&#1077;&#1085;%202021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зразок"/>
      <sheetName val="4-НКП (4)"/>
      <sheetName val="Рекомендації"/>
      <sheetName val="4-НКП (5)"/>
      <sheetName val="4-НКП (6)"/>
      <sheetName val="4-НКП (7)"/>
      <sheetName val="4-НКП (8)"/>
      <sheetName val="4-НКП (9)"/>
      <sheetName val="4-НКП (10)"/>
      <sheetName val="4-НКП 1 кв"/>
      <sheetName val="4-НКП 2 кв "/>
      <sheetName val="4-НКП 3 кв "/>
      <sheetName val="4-НКП 4 кв  "/>
      <sheetName val="4-НКП Зведена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47">
          <cell r="X47">
            <v>0.79899999999999971</v>
          </cell>
        </row>
        <row r="48">
          <cell r="X48">
            <v>92.06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47"/>
  <sheetViews>
    <sheetView tabSelected="1" view="pageBreakPreview" topLeftCell="A25" zoomScale="89" zoomScaleNormal="89" zoomScaleSheetLayoutView="89" workbookViewId="0">
      <selection activeCell="J4" sqref="J4"/>
    </sheetView>
  </sheetViews>
  <sheetFormatPr defaultRowHeight="15" x14ac:dyDescent="0.25"/>
  <cols>
    <col min="1" max="1" width="5.42578125" style="3" customWidth="1"/>
    <col min="2" max="2" width="74.85546875" style="2" customWidth="1"/>
    <col min="3" max="3" width="6.85546875" style="2" customWidth="1"/>
    <col min="4" max="5" width="10.28515625" style="2" hidden="1" customWidth="1"/>
    <col min="6" max="6" width="10.28515625" style="25" hidden="1" customWidth="1"/>
    <col min="7" max="7" width="11.85546875" style="22" customWidth="1"/>
    <col min="8" max="10" width="11.85546875" style="20" customWidth="1"/>
    <col min="11" max="11" width="11.85546875" style="16" customWidth="1"/>
    <col min="12" max="12" width="11.85546875" style="27" customWidth="1"/>
    <col min="13" max="13" width="11.85546875" style="16" customWidth="1"/>
    <col min="14" max="14" width="8.28515625" style="2" customWidth="1"/>
    <col min="15" max="16384" width="9.140625" style="2"/>
  </cols>
  <sheetData>
    <row r="1" spans="1:17" s="6" customFormat="1" ht="18.75" x14ac:dyDescent="0.3">
      <c r="A1" s="5"/>
      <c r="B1" s="50"/>
      <c r="C1" s="52"/>
      <c r="D1" s="49"/>
      <c r="G1" s="47"/>
      <c r="H1" s="48"/>
      <c r="I1" s="48"/>
      <c r="J1" s="57" t="s">
        <v>61</v>
      </c>
      <c r="L1" s="48"/>
      <c r="M1" s="48"/>
      <c r="N1" s="28"/>
    </row>
    <row r="2" spans="1:17" s="6" customFormat="1" ht="18.75" x14ac:dyDescent="0.3">
      <c r="A2" s="5"/>
      <c r="B2" s="50"/>
      <c r="C2" s="52"/>
      <c r="D2" s="49"/>
      <c r="G2" s="47"/>
      <c r="H2" s="48"/>
      <c r="I2" s="48"/>
      <c r="J2" s="57" t="s">
        <v>56</v>
      </c>
      <c r="L2" s="48"/>
      <c r="M2" s="48"/>
      <c r="N2" s="28"/>
    </row>
    <row r="3" spans="1:17" s="6" customFormat="1" ht="18.75" x14ac:dyDescent="0.3">
      <c r="A3" s="5"/>
      <c r="B3" s="50"/>
      <c r="C3" s="52"/>
      <c r="D3" s="49"/>
      <c r="G3" s="47"/>
      <c r="H3" s="48"/>
      <c r="I3" s="48"/>
      <c r="J3" s="57" t="s">
        <v>57</v>
      </c>
      <c r="L3" s="48"/>
      <c r="M3" s="48"/>
      <c r="N3" s="28"/>
    </row>
    <row r="4" spans="1:17" s="6" customFormat="1" ht="18.75" x14ac:dyDescent="0.3">
      <c r="A4" s="5"/>
      <c r="B4" s="51"/>
      <c r="C4" s="52"/>
      <c r="D4" s="49"/>
      <c r="G4" s="47"/>
      <c r="H4" s="48"/>
      <c r="I4" s="48"/>
      <c r="J4" s="56" t="s">
        <v>60</v>
      </c>
      <c r="L4" s="48"/>
      <c r="M4" s="48"/>
      <c r="N4" s="28"/>
    </row>
    <row r="5" spans="1:17" s="6" customFormat="1" ht="10.5" customHeight="1" x14ac:dyDescent="0.25">
      <c r="A5" s="5"/>
      <c r="G5" s="47"/>
      <c r="H5" s="48"/>
      <c r="I5" s="48"/>
      <c r="J5" s="48"/>
      <c r="K5" s="48"/>
      <c r="L5" s="48"/>
      <c r="M5" s="48"/>
      <c r="N5" s="28"/>
    </row>
    <row r="6" spans="1:17" s="4" customFormat="1" ht="18.600000000000001" customHeight="1" x14ac:dyDescent="0.25">
      <c r="A6" s="77" t="s">
        <v>37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/>
      <c r="O6"/>
      <c r="P6"/>
      <c r="Q6" s="7"/>
    </row>
    <row r="7" spans="1:17" s="4" customFormat="1" ht="34.5" customHeight="1" x14ac:dyDescent="0.25">
      <c r="A7" s="76" t="s">
        <v>59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</row>
    <row r="8" spans="1:17" s="1" customFormat="1" ht="8.25" customHeight="1" x14ac:dyDescent="0.25">
      <c r="A8" s="5"/>
      <c r="B8" s="6"/>
      <c r="C8" s="6"/>
      <c r="D8" s="6"/>
      <c r="E8" s="6"/>
      <c r="F8" s="6"/>
      <c r="G8" s="47"/>
      <c r="H8" s="48"/>
      <c r="I8" s="48"/>
      <c r="J8" s="48"/>
      <c r="K8" s="48"/>
      <c r="L8" s="48"/>
      <c r="M8" s="48"/>
    </row>
    <row r="9" spans="1:17" ht="15" customHeight="1" x14ac:dyDescent="0.25">
      <c r="A9" s="80" t="s">
        <v>0</v>
      </c>
      <c r="B9" s="83" t="s">
        <v>9</v>
      </c>
      <c r="C9" s="83" t="s">
        <v>1</v>
      </c>
      <c r="D9" s="84" t="s">
        <v>36</v>
      </c>
      <c r="E9" s="85"/>
      <c r="F9" s="85"/>
      <c r="G9" s="85"/>
      <c r="H9" s="85"/>
      <c r="I9" s="85"/>
      <c r="J9" s="85"/>
      <c r="K9" s="85"/>
      <c r="L9" s="85"/>
      <c r="M9" s="86"/>
    </row>
    <row r="10" spans="1:17" ht="15" customHeight="1" x14ac:dyDescent="0.25">
      <c r="A10" s="81"/>
      <c r="B10" s="83"/>
      <c r="C10" s="83"/>
      <c r="D10" s="90" t="s">
        <v>10</v>
      </c>
      <c r="E10" s="91"/>
      <c r="F10" s="91"/>
      <c r="G10" s="91"/>
      <c r="H10" s="91"/>
      <c r="I10" s="91"/>
      <c r="J10" s="91"/>
      <c r="K10" s="92"/>
      <c r="L10" s="87" t="s">
        <v>35</v>
      </c>
      <c r="M10" s="88" t="s">
        <v>53</v>
      </c>
    </row>
    <row r="11" spans="1:17" ht="48" customHeight="1" x14ac:dyDescent="0.25">
      <c r="A11" s="82"/>
      <c r="B11" s="83"/>
      <c r="C11" s="83"/>
      <c r="D11" s="17" t="s">
        <v>45</v>
      </c>
      <c r="E11" s="26" t="s">
        <v>43</v>
      </c>
      <c r="F11" s="26" t="s">
        <v>44</v>
      </c>
      <c r="G11" s="58" t="s">
        <v>47</v>
      </c>
      <c r="H11" s="58" t="s">
        <v>51</v>
      </c>
      <c r="I11" s="58" t="s">
        <v>46</v>
      </c>
      <c r="J11" s="58" t="s">
        <v>49</v>
      </c>
      <c r="K11" s="59" t="s">
        <v>54</v>
      </c>
      <c r="L11" s="87"/>
      <c r="M11" s="89"/>
    </row>
    <row r="12" spans="1:17" x14ac:dyDescent="0.25">
      <c r="A12" s="13" t="s">
        <v>2</v>
      </c>
      <c r="B12" s="29" t="s">
        <v>3</v>
      </c>
      <c r="C12" s="29" t="s">
        <v>4</v>
      </c>
      <c r="D12" s="29">
        <v>1</v>
      </c>
      <c r="E12" s="29">
        <v>2</v>
      </c>
      <c r="F12" s="29">
        <v>3</v>
      </c>
      <c r="G12" s="31">
        <v>1</v>
      </c>
      <c r="H12" s="31">
        <v>2</v>
      </c>
      <c r="I12" s="31">
        <v>3</v>
      </c>
      <c r="J12" s="31">
        <v>4</v>
      </c>
      <c r="K12" s="53">
        <v>5</v>
      </c>
      <c r="L12" s="31">
        <v>6</v>
      </c>
      <c r="M12" s="31">
        <v>7</v>
      </c>
    </row>
    <row r="13" spans="1:17" ht="15.75" x14ac:dyDescent="0.25">
      <c r="A13" s="61">
        <v>1</v>
      </c>
      <c r="B13" s="62" t="s">
        <v>38</v>
      </c>
      <c r="C13" s="55">
        <v>1</v>
      </c>
      <c r="D13" s="14">
        <v>1130.9970000000001</v>
      </c>
      <c r="E13" s="14">
        <v>1525.614</v>
      </c>
      <c r="F13" s="14">
        <v>1618.1130000000001</v>
      </c>
      <c r="G13" s="14">
        <v>1592.5550000000003</v>
      </c>
      <c r="H13" s="14">
        <v>1802.7119999999998</v>
      </c>
      <c r="I13" s="14">
        <f>I14+I15</f>
        <v>1968.0740000000001</v>
      </c>
      <c r="J13" s="14">
        <f>J14+J15</f>
        <v>2140.5310000000004</v>
      </c>
      <c r="K13" s="14">
        <f>K14+K15</f>
        <v>2070.8850000000002</v>
      </c>
      <c r="L13" s="14">
        <v>1569</v>
      </c>
      <c r="M13" s="14">
        <f>M14+M15</f>
        <v>2156.3609999999999</v>
      </c>
    </row>
    <row r="14" spans="1:17" ht="15.75" x14ac:dyDescent="0.25">
      <c r="A14" s="61" t="s">
        <v>8</v>
      </c>
      <c r="B14" s="62" t="s">
        <v>27</v>
      </c>
      <c r="C14" s="55">
        <v>2</v>
      </c>
      <c r="D14" s="15">
        <f>D13</f>
        <v>1130.9970000000001</v>
      </c>
      <c r="E14" s="15">
        <f>E13</f>
        <v>1525.614</v>
      </c>
      <c r="F14" s="15">
        <f>F13</f>
        <v>1618.1130000000001</v>
      </c>
      <c r="G14" s="15">
        <f>G13</f>
        <v>1592.5550000000003</v>
      </c>
      <c r="H14" s="15">
        <f>H13</f>
        <v>1802.7119999999998</v>
      </c>
      <c r="I14" s="15">
        <v>1968.04</v>
      </c>
      <c r="J14" s="15">
        <v>2140.4140000000002</v>
      </c>
      <c r="K14" s="15">
        <v>2070.8690000000001</v>
      </c>
      <c r="L14" s="15">
        <f>L18+L19+L21</f>
        <v>1569</v>
      </c>
      <c r="M14" s="43">
        <v>2155.4110000000001</v>
      </c>
    </row>
    <row r="15" spans="1:17" ht="15.75" x14ac:dyDescent="0.25">
      <c r="A15" s="61" t="s">
        <v>6</v>
      </c>
      <c r="B15" s="62" t="s">
        <v>11</v>
      </c>
      <c r="C15" s="55">
        <v>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1">
        <v>3.4000000000000002E-2</v>
      </c>
      <c r="J15" s="11">
        <v>0.11700000000000001</v>
      </c>
      <c r="K15" s="11">
        <v>1.6E-2</v>
      </c>
      <c r="L15" s="18">
        <v>0</v>
      </c>
      <c r="M15" s="44">
        <v>0.95</v>
      </c>
    </row>
    <row r="16" spans="1:17" ht="15.75" x14ac:dyDescent="0.25">
      <c r="A16" s="61" t="s">
        <v>7</v>
      </c>
      <c r="B16" s="62" t="s">
        <v>5</v>
      </c>
      <c r="C16" s="55">
        <v>4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45">
        <v>0</v>
      </c>
    </row>
    <row r="17" spans="1:13" ht="15.75" x14ac:dyDescent="0.25">
      <c r="A17" s="61" t="s">
        <v>52</v>
      </c>
      <c r="B17" s="62" t="s">
        <v>12</v>
      </c>
      <c r="C17" s="55">
        <v>5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45">
        <v>0</v>
      </c>
    </row>
    <row r="18" spans="1:13" ht="15.75" x14ac:dyDescent="0.25">
      <c r="A18" s="61">
        <v>2</v>
      </c>
      <c r="B18" s="62" t="s">
        <v>13</v>
      </c>
      <c r="C18" s="55">
        <v>6</v>
      </c>
      <c r="D18" s="11">
        <v>75.326999999999998</v>
      </c>
      <c r="E18" s="11">
        <v>101.607</v>
      </c>
      <c r="F18" s="23">
        <v>107.765</v>
      </c>
      <c r="G18" s="23">
        <v>106.065</v>
      </c>
      <c r="H18" s="11">
        <v>121.73</v>
      </c>
      <c r="I18" s="11">
        <f>I14*0.0678</f>
        <v>133.43311199999999</v>
      </c>
      <c r="J18" s="11">
        <f>J14*0.0678</f>
        <v>145.12006920000002</v>
      </c>
      <c r="K18" s="11">
        <f>K14*0.0678</f>
        <v>140.4049182</v>
      </c>
      <c r="L18" s="11">
        <f>ROUND(L13*6.66%,2)</f>
        <v>104.5</v>
      </c>
      <c r="M18" s="44">
        <f>ROUND(M14*6.78%,2)</f>
        <v>146.13999999999999</v>
      </c>
    </row>
    <row r="19" spans="1:13" ht="15.75" x14ac:dyDescent="0.25">
      <c r="A19" s="61">
        <v>3</v>
      </c>
      <c r="B19" s="62" t="s">
        <v>14</v>
      </c>
      <c r="C19" s="55">
        <v>7</v>
      </c>
      <c r="D19" s="11">
        <v>21.945</v>
      </c>
      <c r="E19" s="11">
        <v>29.597999999999999</v>
      </c>
      <c r="F19" s="23">
        <v>31.391999999999999</v>
      </c>
      <c r="G19" s="23">
        <v>30.895</v>
      </c>
      <c r="H19" s="23">
        <v>24.951000000000001</v>
      </c>
      <c r="I19" s="23">
        <f>I14*0.0122</f>
        <v>24.010088</v>
      </c>
      <c r="J19" s="23">
        <f>J14*0.0122</f>
        <v>26.113050800000003</v>
      </c>
      <c r="K19" s="11">
        <f>K14*0.0122</f>
        <v>25.264601800000005</v>
      </c>
      <c r="L19" s="11">
        <f>ROUND(L13*1.94%,2)</f>
        <v>30.44</v>
      </c>
      <c r="M19" s="44">
        <f>ROUND(M14*1.22%,2)</f>
        <v>26.3</v>
      </c>
    </row>
    <row r="20" spans="1:13" ht="15.75" x14ac:dyDescent="0.25">
      <c r="A20" s="61">
        <v>4</v>
      </c>
      <c r="B20" s="62" t="s">
        <v>15</v>
      </c>
      <c r="C20" s="55">
        <v>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45">
        <v>0</v>
      </c>
    </row>
    <row r="21" spans="1:13" ht="15.75" x14ac:dyDescent="0.25">
      <c r="A21" s="61">
        <v>5</v>
      </c>
      <c r="B21" s="62" t="s">
        <v>16</v>
      </c>
      <c r="C21" s="55">
        <v>9</v>
      </c>
      <c r="D21" s="15">
        <v>1033.7249999999999</v>
      </c>
      <c r="E21" s="15">
        <f t="shared" ref="E21:K21" si="0">E14-E18-E19</f>
        <v>1394.4090000000001</v>
      </c>
      <c r="F21" s="15">
        <f t="shared" si="0"/>
        <v>1478.9559999999999</v>
      </c>
      <c r="G21" s="15">
        <f t="shared" si="0"/>
        <v>1455.5950000000003</v>
      </c>
      <c r="H21" s="15">
        <f t="shared" si="0"/>
        <v>1656.0309999999997</v>
      </c>
      <c r="I21" s="15">
        <f t="shared" si="0"/>
        <v>1810.5968</v>
      </c>
      <c r="J21" s="15">
        <f t="shared" si="0"/>
        <v>1969.1808800000001</v>
      </c>
      <c r="K21" s="15">
        <f t="shared" si="0"/>
        <v>1905.1994800000002</v>
      </c>
      <c r="L21" s="15">
        <f>L13-L18-L19</f>
        <v>1434.06</v>
      </c>
      <c r="M21" s="43">
        <f>M14-M18-M19</f>
        <v>1982.9710000000002</v>
      </c>
    </row>
    <row r="22" spans="1:13" ht="15.75" x14ac:dyDescent="0.25">
      <c r="A22" s="61" t="s">
        <v>21</v>
      </c>
      <c r="B22" s="62" t="s">
        <v>39</v>
      </c>
      <c r="C22" s="55">
        <v>10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45">
        <v>0</v>
      </c>
    </row>
    <row r="23" spans="1:13" ht="15.75" x14ac:dyDescent="0.25">
      <c r="A23" s="61">
        <v>6</v>
      </c>
      <c r="B23" s="62" t="s">
        <v>55</v>
      </c>
      <c r="C23" s="55">
        <v>11</v>
      </c>
      <c r="D23" s="15">
        <v>30.76</v>
      </c>
      <c r="E23" s="15">
        <f>E24+E25</f>
        <v>82.078000000000003</v>
      </c>
      <c r="F23" s="15">
        <f>F24+F25</f>
        <v>87.055000000000007</v>
      </c>
      <c r="G23" s="24">
        <f>G24+G25</f>
        <v>85.679000000000002</v>
      </c>
      <c r="H23" s="15">
        <v>89.694999999999993</v>
      </c>
      <c r="I23" s="15">
        <f>I24+I25</f>
        <v>95.570888000000011</v>
      </c>
      <c r="J23" s="15">
        <f>J24+J25</f>
        <v>103.93993079999998</v>
      </c>
      <c r="K23" s="15">
        <f>K24+K25</f>
        <v>98.924081799999996</v>
      </c>
      <c r="L23" s="15">
        <f>ROUND(L13*5.38%,2)</f>
        <v>84.41</v>
      </c>
      <c r="M23" s="46">
        <f>M24+M25</f>
        <v>104.753</v>
      </c>
    </row>
    <row r="24" spans="1:13" ht="15.75" x14ac:dyDescent="0.25">
      <c r="A24" s="61" t="s">
        <v>22</v>
      </c>
      <c r="B24" s="62" t="s">
        <v>17</v>
      </c>
      <c r="C24" s="55">
        <v>12</v>
      </c>
      <c r="D24" s="15">
        <f>D23</f>
        <v>30.76</v>
      </c>
      <c r="E24" s="15">
        <f>ROUND(E13*2.72%,3)</f>
        <v>41.497</v>
      </c>
      <c r="F24" s="15">
        <f>ROUND(F13*2.72%,3)</f>
        <v>44.012999999999998</v>
      </c>
      <c r="G24" s="24">
        <f>ROUND(G13*2.72%,3)</f>
        <v>43.317</v>
      </c>
      <c r="H24" s="15">
        <f>H23-H25</f>
        <v>23.647999999999996</v>
      </c>
      <c r="I24" s="15">
        <f>151.107-I18</f>
        <v>17.673888000000005</v>
      </c>
      <c r="J24" s="15">
        <f>164.34-J18</f>
        <v>19.219930799999986</v>
      </c>
      <c r="K24" s="15">
        <f>157.363-K18</f>
        <v>16.958081800000002</v>
      </c>
      <c r="L24" s="15">
        <f>ROUND(L13*2.72%,2)</f>
        <v>42.68</v>
      </c>
      <c r="M24" s="46">
        <f>ROUND(M14*0.9%,3)</f>
        <v>19.399000000000001</v>
      </c>
    </row>
    <row r="25" spans="1:13" ht="15.75" x14ac:dyDescent="0.25">
      <c r="A25" s="61" t="s">
        <v>23</v>
      </c>
      <c r="B25" s="62" t="s">
        <v>18</v>
      </c>
      <c r="C25" s="55">
        <v>13</v>
      </c>
      <c r="D25" s="12">
        <v>0</v>
      </c>
      <c r="E25" s="15">
        <f>ROUND(E13*2.66%,3)</f>
        <v>40.581000000000003</v>
      </c>
      <c r="F25" s="15">
        <f>ROUND(F13*2.66%,3)</f>
        <v>43.042000000000002</v>
      </c>
      <c r="G25" s="24">
        <f>ROUND(G13*2.66%,3)</f>
        <v>42.362000000000002</v>
      </c>
      <c r="H25" s="15">
        <v>66.046999999999997</v>
      </c>
      <c r="I25" s="15">
        <v>77.897000000000006</v>
      </c>
      <c r="J25" s="15">
        <v>84.72</v>
      </c>
      <c r="K25" s="15">
        <v>81.965999999999994</v>
      </c>
      <c r="L25" s="15">
        <f>L23-L24</f>
        <v>41.73</v>
      </c>
      <c r="M25" s="46">
        <f>ROUND(M14*3.96%,3)</f>
        <v>85.353999999999999</v>
      </c>
    </row>
    <row r="26" spans="1:13" ht="15.75" x14ac:dyDescent="0.25">
      <c r="A26" s="66">
        <v>7</v>
      </c>
      <c r="B26" s="62" t="s">
        <v>19</v>
      </c>
      <c r="C26" s="55">
        <v>14</v>
      </c>
      <c r="D26" s="15">
        <v>63.222999999999999</v>
      </c>
      <c r="E26" s="15">
        <v>85.28</v>
      </c>
      <c r="F26" s="24">
        <v>90.451999999999998</v>
      </c>
      <c r="G26" s="24">
        <v>89.027000000000001</v>
      </c>
      <c r="H26" s="15">
        <v>116.592</v>
      </c>
      <c r="I26" s="15">
        <f>157.98-I19</f>
        <v>133.96991199999999</v>
      </c>
      <c r="J26" s="15">
        <f>171.345-J19</f>
        <v>145.2319492</v>
      </c>
      <c r="K26" s="15">
        <v>141.369</v>
      </c>
      <c r="L26" s="15">
        <f>ROUND(L13*5.59%,2)</f>
        <v>87.71</v>
      </c>
      <c r="M26" s="43">
        <f>ROUND(M14*6.63%,2)</f>
        <v>142.9</v>
      </c>
    </row>
    <row r="27" spans="1:13" ht="15.75" x14ac:dyDescent="0.25">
      <c r="A27" s="66">
        <v>8</v>
      </c>
      <c r="B27" s="62" t="s">
        <v>40</v>
      </c>
      <c r="C27" s="55">
        <v>15</v>
      </c>
      <c r="D27" s="15">
        <v>96.623000000000005</v>
      </c>
      <c r="E27" s="15">
        <f t="shared" ref="E27:L27" si="1">E28+E29+E30</f>
        <v>92.281000000000006</v>
      </c>
      <c r="F27" s="15">
        <f t="shared" si="1"/>
        <v>81.722999999999999</v>
      </c>
      <c r="G27" s="24">
        <f t="shared" si="1"/>
        <v>78.034000000000006</v>
      </c>
      <c r="H27" s="15">
        <f t="shared" si="1"/>
        <v>74.95</v>
      </c>
      <c r="I27" s="15">
        <f t="shared" si="1"/>
        <v>92.859000000000009</v>
      </c>
      <c r="J27" s="15">
        <f>J28+J29+J30</f>
        <v>87.619</v>
      </c>
      <c r="K27" s="15">
        <f>K28+K29+K30</f>
        <v>80.477999999999994</v>
      </c>
      <c r="L27" s="15">
        <f t="shared" si="1"/>
        <v>128.28</v>
      </c>
      <c r="M27" s="43">
        <f>M28+M29+M30</f>
        <v>95.710999999999999</v>
      </c>
    </row>
    <row r="28" spans="1:13" ht="15.75" x14ac:dyDescent="0.25">
      <c r="A28" s="63" t="s">
        <v>30</v>
      </c>
      <c r="B28" s="62" t="s">
        <v>25</v>
      </c>
      <c r="C28" s="55">
        <v>16</v>
      </c>
      <c r="D28" s="15">
        <v>0</v>
      </c>
      <c r="E28" s="15">
        <v>0</v>
      </c>
      <c r="F28" s="15">
        <v>0</v>
      </c>
      <c r="G28" s="24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43">
        <v>0</v>
      </c>
    </row>
    <row r="29" spans="1:13" ht="15.75" x14ac:dyDescent="0.25">
      <c r="A29" s="64" t="s">
        <v>31</v>
      </c>
      <c r="B29" s="65" t="s">
        <v>28</v>
      </c>
      <c r="C29" s="60">
        <v>17</v>
      </c>
      <c r="D29" s="9">
        <v>0.81399999999999995</v>
      </c>
      <c r="E29" s="9">
        <v>0.83399999999999996</v>
      </c>
      <c r="F29" s="24">
        <v>0.879</v>
      </c>
      <c r="G29" s="24">
        <v>0.86599999999999999</v>
      </c>
      <c r="H29" s="24">
        <v>1.39</v>
      </c>
      <c r="I29" s="24">
        <f>'[1]4-НКП Зведена '!$X$47</f>
        <v>0.79899999999999971</v>
      </c>
      <c r="J29" s="24">
        <v>0.76100000000000001</v>
      </c>
      <c r="K29" s="54">
        <v>0.67200000000000004</v>
      </c>
      <c r="L29" s="11">
        <v>0.85</v>
      </c>
      <c r="M29" s="44">
        <v>0.68</v>
      </c>
    </row>
    <row r="30" spans="1:13" ht="15.75" x14ac:dyDescent="0.25">
      <c r="A30" s="64" t="s">
        <v>32</v>
      </c>
      <c r="B30" s="65" t="s">
        <v>29</v>
      </c>
      <c r="C30" s="60">
        <v>18</v>
      </c>
      <c r="D30" s="9">
        <v>95.808999999999997</v>
      </c>
      <c r="E30" s="9">
        <f>91.269+0.178</f>
        <v>91.447000000000003</v>
      </c>
      <c r="F30" s="24">
        <f>0.889+79.955</f>
        <v>80.843999999999994</v>
      </c>
      <c r="G30" s="24">
        <v>77.168000000000006</v>
      </c>
      <c r="H30" s="9">
        <v>73.56</v>
      </c>
      <c r="I30" s="9">
        <f>'[1]4-НКП Зведена '!$X$48</f>
        <v>92.06</v>
      </c>
      <c r="J30" s="9">
        <f>87.619-0.761</f>
        <v>86.858000000000004</v>
      </c>
      <c r="K30" s="15">
        <v>79.805999999999997</v>
      </c>
      <c r="L30" s="11">
        <f>2.136+125.294</f>
        <v>127.42999999999999</v>
      </c>
      <c r="M30" s="44">
        <f>95.711-M29</f>
        <v>95.030999999999992</v>
      </c>
    </row>
    <row r="31" spans="1:13" ht="15.75" x14ac:dyDescent="0.25">
      <c r="A31" s="67">
        <v>9</v>
      </c>
      <c r="B31" s="65" t="s">
        <v>20</v>
      </c>
      <c r="C31" s="55">
        <v>19</v>
      </c>
      <c r="D31" s="10">
        <v>5276.9279999999999</v>
      </c>
      <c r="E31" s="10">
        <v>5675.3379999999997</v>
      </c>
      <c r="F31" s="10">
        <v>5551.2340000000004</v>
      </c>
      <c r="G31" s="10">
        <v>5604.0339999999997</v>
      </c>
      <c r="H31" s="10">
        <v>5946.0150000000003</v>
      </c>
      <c r="I31" s="10">
        <v>5471.4959999999992</v>
      </c>
      <c r="J31" s="14">
        <v>5229.1660000000002</v>
      </c>
      <c r="K31" s="14">
        <v>6140.9189999999999</v>
      </c>
      <c r="L31" s="14">
        <f>L32</f>
        <v>5986.1880000000001</v>
      </c>
      <c r="M31" s="14">
        <f>M32</f>
        <v>5428.6358105216505</v>
      </c>
    </row>
    <row r="32" spans="1:13" ht="15.75" x14ac:dyDescent="0.25">
      <c r="A32" s="64" t="s">
        <v>24</v>
      </c>
      <c r="B32" s="65" t="s">
        <v>41</v>
      </c>
      <c r="C32" s="60">
        <v>20</v>
      </c>
      <c r="D32" s="9">
        <f>D31</f>
        <v>5276.9279999999999</v>
      </c>
      <c r="E32" s="9">
        <f>E31</f>
        <v>5675.3379999999997</v>
      </c>
      <c r="F32" s="9">
        <f>F31</f>
        <v>5551.2340000000004</v>
      </c>
      <c r="G32" s="9">
        <f>G31</f>
        <v>5604.0339999999997</v>
      </c>
      <c r="H32" s="9">
        <f>H31</f>
        <v>5946.0150000000003</v>
      </c>
      <c r="I32" s="9">
        <v>5471.4960000000001</v>
      </c>
      <c r="J32" s="15">
        <f>J31</f>
        <v>5229.1660000000002</v>
      </c>
      <c r="K32" s="15">
        <f>K31</f>
        <v>6140.9189999999999</v>
      </c>
      <c r="L32" s="11">
        <v>5986.1880000000001</v>
      </c>
      <c r="M32" s="11">
        <v>5428.6358105216505</v>
      </c>
    </row>
    <row r="33" spans="1:15" ht="31.5" x14ac:dyDescent="0.25">
      <c r="A33" s="67">
        <v>10</v>
      </c>
      <c r="B33" s="65" t="s">
        <v>42</v>
      </c>
      <c r="C33" s="60">
        <v>21</v>
      </c>
      <c r="D33" s="9">
        <f t="shared" ref="D33:M33" si="2">D35+D36</f>
        <v>4436.3950000000004</v>
      </c>
      <c r="E33" s="9">
        <f t="shared" si="2"/>
        <v>4542.8330000000005</v>
      </c>
      <c r="F33" s="9">
        <f t="shared" si="2"/>
        <v>4725.3490000000002</v>
      </c>
      <c r="G33" s="9">
        <f t="shared" si="2"/>
        <v>4787.3539999999994</v>
      </c>
      <c r="H33" s="9">
        <f t="shared" si="2"/>
        <v>4784.9629999999997</v>
      </c>
      <c r="I33" s="9">
        <f t="shared" si="2"/>
        <v>4406.7379999999994</v>
      </c>
      <c r="J33" s="15">
        <f t="shared" si="2"/>
        <v>4059.3980000000001</v>
      </c>
      <c r="K33" s="15">
        <f t="shared" si="2"/>
        <v>5016.43</v>
      </c>
      <c r="L33" s="11">
        <f t="shared" si="2"/>
        <v>4579.1459999999997</v>
      </c>
      <c r="M33" s="11">
        <f t="shared" si="2"/>
        <v>4289.41</v>
      </c>
      <c r="O33" s="30"/>
    </row>
    <row r="34" spans="1:15" ht="15.75" x14ac:dyDescent="0.25">
      <c r="A34" s="61" t="s">
        <v>26</v>
      </c>
      <c r="B34" s="62" t="s">
        <v>25</v>
      </c>
      <c r="C34" s="55">
        <v>22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</row>
    <row r="35" spans="1:15" ht="15.75" x14ac:dyDescent="0.25">
      <c r="A35" s="64" t="s">
        <v>33</v>
      </c>
      <c r="B35" s="65" t="s">
        <v>28</v>
      </c>
      <c r="C35" s="60">
        <v>23</v>
      </c>
      <c r="D35" s="9">
        <v>4352.71</v>
      </c>
      <c r="E35" s="9">
        <v>4463.6880000000001</v>
      </c>
      <c r="F35" s="9">
        <v>4659.2449999999999</v>
      </c>
      <c r="G35" s="9">
        <v>4726.0079999999998</v>
      </c>
      <c r="H35" s="9">
        <v>4715.8389999999999</v>
      </c>
      <c r="I35" s="9">
        <v>4322.3359999999993</v>
      </c>
      <c r="J35" s="15">
        <v>3979.8</v>
      </c>
      <c r="K35" s="15">
        <v>4945.0590000000002</v>
      </c>
      <c r="L35" s="11">
        <v>4465</v>
      </c>
      <c r="M35" s="11">
        <v>4200</v>
      </c>
      <c r="O35" s="30"/>
    </row>
    <row r="36" spans="1:15" ht="15.75" x14ac:dyDescent="0.25">
      <c r="A36" s="64" t="s">
        <v>34</v>
      </c>
      <c r="B36" s="65" t="s">
        <v>29</v>
      </c>
      <c r="C36" s="60">
        <v>24</v>
      </c>
      <c r="D36" s="9">
        <f>83.141+0.544</f>
        <v>83.685000000000002</v>
      </c>
      <c r="E36" s="9">
        <f>78.821+0.324</f>
        <v>79.144999999999996</v>
      </c>
      <c r="F36" s="9">
        <v>66.103999999999999</v>
      </c>
      <c r="G36" s="9">
        <v>61.345999999999997</v>
      </c>
      <c r="H36" s="9">
        <v>69.123999999999995</v>
      </c>
      <c r="I36" s="9">
        <v>84.402000000000044</v>
      </c>
      <c r="J36" s="15">
        <v>79.597999999999999</v>
      </c>
      <c r="K36" s="15">
        <v>71.370999999999995</v>
      </c>
      <c r="L36" s="11">
        <f>113.546+0.6</f>
        <v>114.146</v>
      </c>
      <c r="M36" s="11">
        <v>89.41</v>
      </c>
      <c r="O36" s="30"/>
    </row>
    <row r="37" spans="1:15" ht="21.75" customHeight="1" x14ac:dyDescent="0.25">
      <c r="A37" s="73"/>
      <c r="B37" s="19"/>
      <c r="C37" s="71"/>
      <c r="D37" s="72"/>
      <c r="E37" s="72"/>
      <c r="F37" s="72"/>
      <c r="G37" s="72"/>
      <c r="H37" s="72"/>
      <c r="I37" s="72"/>
      <c r="J37" s="72"/>
      <c r="K37" s="72"/>
      <c r="L37" s="72"/>
      <c r="M37" s="72"/>
      <c r="O37" s="30"/>
    </row>
    <row r="38" spans="1:15" ht="18.75" x14ac:dyDescent="0.3">
      <c r="A38" s="78" t="s">
        <v>58</v>
      </c>
      <c r="B38" s="78"/>
      <c r="C38" s="68"/>
      <c r="D38" s="68"/>
      <c r="E38" s="68"/>
      <c r="F38" s="69"/>
      <c r="G38" s="70"/>
      <c r="H38" s="2"/>
      <c r="I38" s="2"/>
      <c r="J38" s="79" t="s">
        <v>48</v>
      </c>
      <c r="K38" s="79"/>
      <c r="L38" s="79"/>
      <c r="M38" s="79"/>
      <c r="N38" s="68"/>
    </row>
    <row r="39" spans="1:15" ht="15.75" x14ac:dyDescent="0.25">
      <c r="A39" s="75"/>
      <c r="B39" s="75"/>
      <c r="C39" s="74"/>
      <c r="D39" s="74"/>
      <c r="E39" s="74"/>
      <c r="F39" s="19"/>
      <c r="G39" s="21"/>
      <c r="H39" s="75"/>
      <c r="I39" s="75"/>
      <c r="J39" s="75"/>
      <c r="K39" s="75"/>
      <c r="L39" s="75"/>
      <c r="M39" s="75"/>
    </row>
    <row r="40" spans="1:15" ht="15.75" x14ac:dyDescent="0.25">
      <c r="A40" s="74" t="s">
        <v>50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5" ht="15.75" x14ac:dyDescent="0.25">
      <c r="I41" s="32"/>
      <c r="J41" s="32"/>
      <c r="K41" s="32"/>
      <c r="L41" s="33"/>
      <c r="M41" s="34"/>
      <c r="N41" s="35"/>
    </row>
    <row r="42" spans="1:15" ht="15.75" x14ac:dyDescent="0.25">
      <c r="I42" s="36"/>
      <c r="J42" s="36"/>
      <c r="K42" s="36"/>
      <c r="L42" s="37"/>
      <c r="M42" s="38"/>
      <c r="N42" s="35"/>
    </row>
    <row r="43" spans="1:15" ht="15.75" x14ac:dyDescent="0.25">
      <c r="B43" s="8"/>
      <c r="I43" s="36"/>
      <c r="J43" s="36"/>
      <c r="K43" s="36"/>
      <c r="L43" s="37"/>
      <c r="M43" s="38"/>
      <c r="N43" s="35"/>
    </row>
    <row r="44" spans="1:15" ht="15.75" x14ac:dyDescent="0.25">
      <c r="I44" s="39"/>
      <c r="J44" s="39"/>
      <c r="K44" s="39"/>
      <c r="L44" s="40"/>
      <c r="M44" s="41"/>
      <c r="N44" s="35"/>
    </row>
    <row r="45" spans="1:15" ht="15.75" x14ac:dyDescent="0.25">
      <c r="I45" s="36"/>
      <c r="J45" s="36"/>
      <c r="K45" s="36"/>
      <c r="L45" s="37"/>
      <c r="M45" s="38"/>
      <c r="N45" s="35"/>
    </row>
    <row r="46" spans="1:15" ht="15.75" x14ac:dyDescent="0.25">
      <c r="I46" s="36"/>
      <c r="J46" s="36"/>
      <c r="K46" s="36"/>
      <c r="L46" s="37"/>
      <c r="M46" s="38"/>
      <c r="N46" s="35"/>
    </row>
    <row r="47" spans="1:15" x14ac:dyDescent="0.25">
      <c r="I47" s="16"/>
      <c r="J47" s="16"/>
      <c r="L47" s="42"/>
      <c r="N47" s="35"/>
    </row>
  </sheetData>
  <dataConsolidate/>
  <mergeCells count="15">
    <mergeCell ref="A6:M6"/>
    <mergeCell ref="A38:B38"/>
    <mergeCell ref="J38:M38"/>
    <mergeCell ref="A9:A11"/>
    <mergeCell ref="B9:B11"/>
    <mergeCell ref="C9:C11"/>
    <mergeCell ref="D9:M9"/>
    <mergeCell ref="L10:L11"/>
    <mergeCell ref="M10:M11"/>
    <mergeCell ref="D10:K10"/>
    <mergeCell ref="A40:M40"/>
    <mergeCell ref="A39:B39"/>
    <mergeCell ref="C39:E39"/>
    <mergeCell ref="H39:M39"/>
    <mergeCell ref="A7:M7"/>
  </mergeCells>
  <printOptions horizontalCentered="1"/>
  <pageMargins left="0.39370078740157483" right="0.39370078740157483" top="0.78740157480314965" bottom="0.39370078740157483" header="0" footer="0"/>
  <pageSetup paperSize="9" scale="74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Річний план 2024</vt:lpstr>
      <vt:lpstr>'Річний план 2024'!Область_печати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2024-02-29T14:08:18Z</dcterms:modified>
</cp:coreProperties>
</file>